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30" windowWidth="14175" windowHeight="5790"/>
  </bookViews>
  <sheets>
    <sheet name="Dashboard" sheetId="10" r:id="rId1"/>
    <sheet name="CALS" sheetId="11" r:id="rId2"/>
    <sheet name="AllSale" sheetId="14" r:id="rId3"/>
    <sheet name="TopSale" sheetId="15" r:id="rId4"/>
  </sheets>
  <externalReferences>
    <externalReference r:id="rId5"/>
  </externalReferences>
  <definedNames>
    <definedName name="_AFYP">OFFSET(CALS!$W$5,0,0,CALS!$T$2)</definedName>
    <definedName name="_Annual">OFFSET(CALS!$AF$5,0,0,CALS!$T$2)</definedName>
    <definedName name="_Asyp">OFFSET(_Ts,0,1)</definedName>
    <definedName name="_Commiss">OFFSET(CALS!$X$5,0,0,CALS!$T$2)</definedName>
    <definedName name="_xlnm._FilterDatabase" localSheetId="2" hidden="1">AllSale!$A$4:$T$103</definedName>
    <definedName name="_xlnm._FilterDatabase" localSheetId="3" hidden="1">TopSale!$A$4:$C$4</definedName>
    <definedName name="_green">OFFSET(CALS!$AL$5,0,0,CALS!$T$2)</definedName>
    <definedName name="_minimum">OFFSET(CALS!$AH$5,0,0,CALS!$T$2)</definedName>
    <definedName name="_Month">OFFSET(CALS!$V$5,0,0,CALS!$T$2)</definedName>
    <definedName name="_MonthRW">OFFSET(CALS!$AA$5,0,0,CALS!$T$2)</definedName>
    <definedName name="_NetRC">OFFSET(CALS!$AB$5,0,0,CALS!$T$2)</definedName>
    <definedName name="_quaterly">OFFSET(CALS!$AE$5,0,0,CALS!$T$2)</definedName>
    <definedName name="_Realdone">OFFSET(CALS!$AC$5,0,0,CALS!$T$2)</definedName>
    <definedName name="_red">OFFSET(CALS!$AJ$5,0,0,CALS!$T$2)</definedName>
    <definedName name="_standard">OFFSET(CALS!$AI$5,0,0,CALS!$T$2)</definedName>
    <definedName name="_target">OFFSET(CALS!$Y$5,0,0,CALS!$T$2)</definedName>
    <definedName name="_Tg">OFFSET(_Ts,0,2)</definedName>
    <definedName name="_Timebonus">OFFSET(CALS!$AD$5,0,0,CALS!$T$2)</definedName>
    <definedName name="_Top">OFFSET(CALS!$Z$5,0,0,CALS!$T$2)</definedName>
    <definedName name="_Ts">OFFSET(Dashboard!#REF!,0,0,Dashboard!#REF!)</definedName>
    <definedName name="_yellow">OFFSET(CALS!$AK$5,0,0,CALS!$T$2)</definedName>
    <definedName name="Income">OFFSET(CALS!$AB$5,0,0,CALS!$T$2,2)</definedName>
    <definedName name="MonthRange2">OFFSET(AllSale!$C$6,0,0,COUNTA(AllSale!$C:$C)-1,1)</definedName>
    <definedName name="SaleNameRange">OFFSET(AllSale!$B$6,0,0,COUNTA(AllSale!$B:$B)-1,1)</definedName>
    <definedName name="SelectName">OFFSET(TopSale!$F$5,0,0,COUNTA(TopSale!$F:$F)-1,1)</definedName>
    <definedName name="TopSaleRange">OFFSET(TopSale!$B$5,0,0,COUNTA(TopSale!$B:$B)-1,1)</definedName>
  </definedNames>
  <calcPr calcId="145621"/>
</workbook>
</file>

<file path=xl/calcChain.xml><?xml version="1.0" encoding="utf-8"?>
<calcChain xmlns="http://schemas.openxmlformats.org/spreadsheetml/2006/main">
  <c r="S29" i="11" l="1"/>
  <c r="S27" i="11"/>
  <c r="S25" i="11"/>
  <c r="S23" i="11"/>
  <c r="S21" i="11"/>
  <c r="S19" i="11"/>
  <c r="S17" i="11"/>
  <c r="R29" i="11"/>
  <c r="R27" i="11"/>
  <c r="R25" i="11"/>
  <c r="R23" i="11"/>
  <c r="R21" i="11"/>
  <c r="R19" i="11"/>
  <c r="R17" i="11"/>
  <c r="S40" i="14" l="1"/>
  <c r="R48" i="14" l="1"/>
  <c r="Q48" i="14"/>
  <c r="G48" i="14"/>
  <c r="O48" i="14" s="1"/>
  <c r="S20" i="14"/>
  <c r="R20" i="14"/>
  <c r="Q20" i="14"/>
  <c r="G20" i="14"/>
  <c r="O20" i="14" s="1"/>
  <c r="S47" i="14"/>
  <c r="R47" i="14"/>
  <c r="Q47" i="14"/>
  <c r="G47" i="14"/>
  <c r="O47" i="14" s="1"/>
  <c r="R40" i="14"/>
  <c r="Q40" i="14"/>
  <c r="G40" i="14"/>
  <c r="O40" i="14" s="1"/>
  <c r="S46" i="14"/>
  <c r="R46" i="14"/>
  <c r="Q46" i="14"/>
  <c r="G46" i="14"/>
  <c r="N48" i="14" l="1"/>
  <c r="N20" i="14"/>
  <c r="O46" i="14"/>
  <c r="V15" i="14"/>
  <c r="C2" i="11"/>
  <c r="T2" i="11" s="1"/>
  <c r="B1" i="10" s="1"/>
  <c r="S25" i="14"/>
  <c r="R25" i="14"/>
  <c r="Q25" i="14"/>
  <c r="G25" i="14"/>
  <c r="O25" i="14" s="1"/>
  <c r="A25" i="14"/>
  <c r="S45" i="14"/>
  <c r="R45" i="14"/>
  <c r="Q45" i="14"/>
  <c r="G45" i="14"/>
  <c r="S44" i="14"/>
  <c r="R44" i="14"/>
  <c r="Q44" i="14"/>
  <c r="G44" i="14"/>
  <c r="O44" i="14" s="1"/>
  <c r="S43" i="14"/>
  <c r="R43" i="14"/>
  <c r="Q43" i="14"/>
  <c r="G43" i="14"/>
  <c r="O43" i="14" s="1"/>
  <c r="S42" i="14"/>
  <c r="R42" i="14"/>
  <c r="Q42" i="14"/>
  <c r="G42" i="14"/>
  <c r="O42" i="14" s="1"/>
  <c r="S41" i="14"/>
  <c r="R41" i="14"/>
  <c r="Q41" i="14"/>
  <c r="G41" i="14"/>
  <c r="O41" i="14" s="1"/>
  <c r="S39" i="14"/>
  <c r="R39" i="14"/>
  <c r="Q39" i="14"/>
  <c r="G39" i="14"/>
  <c r="S38" i="14"/>
  <c r="R38" i="14"/>
  <c r="Q38" i="14"/>
  <c r="G38" i="14"/>
  <c r="N39" i="14" s="1"/>
  <c r="S29" i="14"/>
  <c r="R29" i="14"/>
  <c r="Q29" i="14"/>
  <c r="G29" i="14"/>
  <c r="O29" i="14" s="1"/>
  <c r="S23" i="14"/>
  <c r="R23" i="14"/>
  <c r="Q23" i="14"/>
  <c r="G23" i="14"/>
  <c r="O23" i="14" s="1"/>
  <c r="S37" i="14"/>
  <c r="R37" i="14"/>
  <c r="Q37" i="14"/>
  <c r="G37" i="14"/>
  <c r="O37" i="14" s="1"/>
  <c r="S36" i="14"/>
  <c r="R36" i="14"/>
  <c r="Q36" i="14"/>
  <c r="G36" i="14"/>
  <c r="N37" i="14" s="1"/>
  <c r="S35" i="14"/>
  <c r="R35" i="14"/>
  <c r="Q35" i="14"/>
  <c r="G35" i="14"/>
  <c r="O35" i="14" s="1"/>
  <c r="S34" i="14"/>
  <c r="R34" i="14"/>
  <c r="Q34" i="14"/>
  <c r="G34" i="14"/>
  <c r="N35" i="14" s="1"/>
  <c r="A103" i="14"/>
  <c r="A102" i="14"/>
  <c r="A101" i="14"/>
  <c r="A100" i="14"/>
  <c r="A99" i="14"/>
  <c r="A98" i="14"/>
  <c r="A97" i="14"/>
  <c r="A96" i="14"/>
  <c r="A95" i="14"/>
  <c r="A94" i="14"/>
  <c r="A93" i="14"/>
  <c r="A92" i="14"/>
  <c r="A91" i="14"/>
  <c r="A90" i="14"/>
  <c r="A89" i="14"/>
  <c r="A88" i="14"/>
  <c r="A87" i="14"/>
  <c r="A86" i="14"/>
  <c r="A85" i="14"/>
  <c r="A84" i="14"/>
  <c r="A83" i="14"/>
  <c r="A82" i="14"/>
  <c r="A81" i="14"/>
  <c r="A80" i="14"/>
  <c r="A79" i="14"/>
  <c r="A78" i="14"/>
  <c r="A77" i="14"/>
  <c r="A76" i="14"/>
  <c r="A75" i="14"/>
  <c r="A74" i="14"/>
  <c r="A73" i="14"/>
  <c r="A72" i="14"/>
  <c r="A71" i="14"/>
  <c r="A70" i="14"/>
  <c r="A69" i="14"/>
  <c r="A68" i="14"/>
  <c r="A67" i="14"/>
  <c r="A66" i="14"/>
  <c r="A65" i="14"/>
  <c r="A64" i="14"/>
  <c r="A63" i="14"/>
  <c r="A62" i="14"/>
  <c r="A61" i="14"/>
  <c r="A60" i="14"/>
  <c r="A59" i="14"/>
  <c r="A58" i="14"/>
  <c r="A57" i="14"/>
  <c r="A56" i="14"/>
  <c r="A55" i="14"/>
  <c r="A54" i="14"/>
  <c r="A53" i="14"/>
  <c r="A52" i="14"/>
  <c r="A51" i="14"/>
  <c r="A50" i="14"/>
  <c r="A49" i="14"/>
  <c r="A48" i="14"/>
  <c r="A20" i="14"/>
  <c r="A47" i="14"/>
  <c r="A40" i="14"/>
  <c r="A46" i="14"/>
  <c r="A45" i="14"/>
  <c r="A44" i="14"/>
  <c r="A43" i="14"/>
  <c r="A42" i="14"/>
  <c r="A41" i="14"/>
  <c r="A39" i="14"/>
  <c r="A38" i="14"/>
  <c r="A29" i="14"/>
  <c r="A23" i="14"/>
  <c r="A37" i="14"/>
  <c r="A36" i="14"/>
  <c r="A35" i="14"/>
  <c r="A34" i="14"/>
  <c r="S33" i="14"/>
  <c r="R33" i="14"/>
  <c r="Q33" i="14"/>
  <c r="G33" i="14"/>
  <c r="O33" i="14" s="1"/>
  <c r="A33" i="14"/>
  <c r="S32" i="14"/>
  <c r="R32" i="14"/>
  <c r="Q32" i="14"/>
  <c r="G32" i="14"/>
  <c r="N33" i="14" s="1"/>
  <c r="A32" i="14"/>
  <c r="S31" i="14"/>
  <c r="R31" i="14"/>
  <c r="Q31" i="14"/>
  <c r="G31" i="14"/>
  <c r="N32" i="14" s="1"/>
  <c r="A31" i="14"/>
  <c r="S30" i="14"/>
  <c r="R30" i="14"/>
  <c r="Q30" i="14"/>
  <c r="G30" i="14"/>
  <c r="O30" i="14" s="1"/>
  <c r="A30" i="14"/>
  <c r="S28" i="14"/>
  <c r="R28" i="14"/>
  <c r="Q28" i="14"/>
  <c r="G28" i="14"/>
  <c r="N30" i="14" s="1"/>
  <c r="A28" i="14"/>
  <c r="S27" i="14"/>
  <c r="R27" i="14"/>
  <c r="Q27" i="14"/>
  <c r="G27" i="14"/>
  <c r="N28" i="14" s="1"/>
  <c r="A27" i="14"/>
  <c r="S12" i="14"/>
  <c r="R12" i="14"/>
  <c r="Q12" i="14"/>
  <c r="G12" i="14"/>
  <c r="N27" i="14" s="1"/>
  <c r="A12" i="14"/>
  <c r="S11" i="14"/>
  <c r="R11" i="14"/>
  <c r="Q11" i="14"/>
  <c r="G11" i="14"/>
  <c r="O11" i="14" s="1"/>
  <c r="A11" i="14"/>
  <c r="S10" i="14"/>
  <c r="R10" i="14"/>
  <c r="Q10" i="14"/>
  <c r="G10" i="14"/>
  <c r="N11" i="14" s="1"/>
  <c r="A10" i="14"/>
  <c r="S9" i="14"/>
  <c r="R9" i="14"/>
  <c r="Q9" i="14"/>
  <c r="G9" i="14"/>
  <c r="N10" i="14" s="1"/>
  <c r="A9" i="14"/>
  <c r="S26" i="14"/>
  <c r="R26" i="14"/>
  <c r="Q26" i="14"/>
  <c r="G26" i="14"/>
  <c r="N9" i="14" s="1"/>
  <c r="A26" i="14"/>
  <c r="S24" i="14"/>
  <c r="R24" i="14"/>
  <c r="Q24" i="14"/>
  <c r="G24" i="14"/>
  <c r="O24" i="14" s="1"/>
  <c r="A24" i="14"/>
  <c r="S22" i="14"/>
  <c r="R22" i="14"/>
  <c r="Q22" i="14"/>
  <c r="G22" i="14"/>
  <c r="N24" i="14" s="1"/>
  <c r="A22" i="14"/>
  <c r="S21" i="14"/>
  <c r="R21" i="14"/>
  <c r="Q21" i="14"/>
  <c r="G21" i="14"/>
  <c r="N22" i="14" s="1"/>
  <c r="A21" i="14"/>
  <c r="S19" i="14"/>
  <c r="R19" i="14"/>
  <c r="Q19" i="14"/>
  <c r="G19" i="14"/>
  <c r="N21" i="14" s="1"/>
  <c r="A19" i="14"/>
  <c r="S18" i="14"/>
  <c r="R18" i="14"/>
  <c r="Q18" i="14"/>
  <c r="G18" i="14"/>
  <c r="O18" i="14" s="1"/>
  <c r="A18" i="14"/>
  <c r="S17" i="14"/>
  <c r="R17" i="14"/>
  <c r="Q17" i="14"/>
  <c r="G17" i="14"/>
  <c r="N18" i="14" s="1"/>
  <c r="A17" i="14"/>
  <c r="S16" i="14"/>
  <c r="R16" i="14"/>
  <c r="Q16" i="14"/>
  <c r="G16" i="14"/>
  <c r="N17" i="14" s="1"/>
  <c r="A16" i="14"/>
  <c r="S15" i="14"/>
  <c r="R15" i="14"/>
  <c r="Q15" i="14"/>
  <c r="G15" i="14"/>
  <c r="N16" i="14" s="1"/>
  <c r="A15" i="14"/>
  <c r="S14" i="14"/>
  <c r="R14" i="14"/>
  <c r="Q14" i="14"/>
  <c r="G14" i="14"/>
  <c r="O14" i="14" s="1"/>
  <c r="A14" i="14"/>
  <c r="S13" i="14"/>
  <c r="R13" i="14"/>
  <c r="Q13" i="14"/>
  <c r="G13" i="14"/>
  <c r="N14" i="14" s="1"/>
  <c r="A13" i="14"/>
  <c r="S8" i="14"/>
  <c r="R8" i="14"/>
  <c r="Q8" i="14"/>
  <c r="G8" i="14"/>
  <c r="N13" i="14" s="1"/>
  <c r="A8" i="14"/>
  <c r="S7" i="14"/>
  <c r="R7" i="14"/>
  <c r="Q7" i="14"/>
  <c r="G7" i="14"/>
  <c r="N8" i="14" s="1"/>
  <c r="A7" i="14"/>
  <c r="S6" i="14"/>
  <c r="R6" i="14"/>
  <c r="Q6" i="14"/>
  <c r="N6" i="14"/>
  <c r="G6" i="14"/>
  <c r="O6" i="14" s="1"/>
  <c r="A6" i="14"/>
  <c r="A1" i="10" l="1"/>
  <c r="AH3" i="11"/>
  <c r="AJ3" i="11"/>
  <c r="AL3" i="11"/>
  <c r="AI3" i="11"/>
  <c r="AK3" i="11"/>
  <c r="N42" i="14"/>
  <c r="O39" i="14"/>
  <c r="N46" i="14"/>
  <c r="O45" i="14"/>
  <c r="N40" i="14"/>
  <c r="AC3" i="11"/>
  <c r="AE3" i="11"/>
  <c r="AG3" i="11"/>
  <c r="AF3" i="11"/>
  <c r="AD3" i="11"/>
  <c r="AB3" i="11"/>
  <c r="T8" i="11"/>
  <c r="AA3" i="11"/>
  <c r="T48" i="11"/>
  <c r="T28" i="11"/>
  <c r="T5" i="11"/>
  <c r="T51" i="11"/>
  <c r="U51" i="11" s="1" a="1"/>
  <c r="U51" i="11" s="1"/>
  <c r="T47" i="11"/>
  <c r="U47" i="11" s="1" a="1"/>
  <c r="U47" i="11" s="1"/>
  <c r="T43" i="11"/>
  <c r="U43" i="11" s="1" a="1"/>
  <c r="U43" i="11" s="1"/>
  <c r="T39" i="11"/>
  <c r="U39" i="11" s="1" a="1"/>
  <c r="U39" i="11" s="1"/>
  <c r="T35" i="11"/>
  <c r="U35" i="11" s="1" a="1"/>
  <c r="U35" i="11" s="1"/>
  <c r="T31" i="11"/>
  <c r="U31" i="11" s="1" a="1"/>
  <c r="U31" i="11" s="1"/>
  <c r="T27" i="11"/>
  <c r="U27" i="11" s="1" a="1"/>
  <c r="U27" i="11" s="1"/>
  <c r="T23" i="11"/>
  <c r="U23" i="11" s="1" a="1"/>
  <c r="U23" i="11" s="1"/>
  <c r="T19" i="11"/>
  <c r="U19" i="11" s="1" a="1"/>
  <c r="U19" i="11" s="1"/>
  <c r="T15" i="11"/>
  <c r="U15" i="11" s="1" a="1"/>
  <c r="U15" i="11" s="1"/>
  <c r="T11" i="11"/>
  <c r="T7" i="11"/>
  <c r="T54" i="11"/>
  <c r="U54" i="11" s="1" a="1"/>
  <c r="U54" i="11" s="1"/>
  <c r="T50" i="11"/>
  <c r="U50" i="11" s="1" a="1"/>
  <c r="U50" i="11" s="1"/>
  <c r="T46" i="11"/>
  <c r="U46" i="11" s="1" a="1"/>
  <c r="U46" i="11" s="1"/>
  <c r="T42" i="11"/>
  <c r="U42" i="11" s="1" a="1"/>
  <c r="U42" i="11" s="1"/>
  <c r="T38" i="11"/>
  <c r="U38" i="11" s="1" a="1"/>
  <c r="U38" i="11" s="1"/>
  <c r="T34" i="11"/>
  <c r="U34" i="11" s="1" a="1"/>
  <c r="U34" i="11" s="1"/>
  <c r="T30" i="11"/>
  <c r="U30" i="11" s="1" a="1"/>
  <c r="U30" i="11" s="1"/>
  <c r="T26" i="11"/>
  <c r="U26" i="11" s="1" a="1"/>
  <c r="U26" i="11" s="1"/>
  <c r="T22" i="11"/>
  <c r="T18" i="11"/>
  <c r="U18" i="11" s="1" a="1"/>
  <c r="U18" i="11" s="1"/>
  <c r="T14" i="11"/>
  <c r="U14" i="11" s="1" a="1"/>
  <c r="U14" i="11" s="1"/>
  <c r="T10" i="11"/>
  <c r="T6" i="11"/>
  <c r="U48" i="11" a="1"/>
  <c r="U48" i="11" s="1"/>
  <c r="U28" i="11" a="1"/>
  <c r="U28" i="11" s="1"/>
  <c r="U8" i="11" a="1"/>
  <c r="U8" i="11" s="1"/>
  <c r="T53" i="11"/>
  <c r="U53" i="11" s="1" a="1"/>
  <c r="U53" i="11" s="1"/>
  <c r="T49" i="11"/>
  <c r="U49" i="11" s="1" a="1"/>
  <c r="U49" i="11" s="1"/>
  <c r="T45" i="11"/>
  <c r="U45" i="11" s="1" a="1"/>
  <c r="U45" i="11" s="1"/>
  <c r="T41" i="11"/>
  <c r="U41" i="11" s="1" a="1"/>
  <c r="U41" i="11" s="1"/>
  <c r="T37" i="11"/>
  <c r="U37" i="11" s="1" a="1"/>
  <c r="U37" i="11" s="1"/>
  <c r="T33" i="11"/>
  <c r="U33" i="11" s="1" a="1"/>
  <c r="U33" i="11" s="1"/>
  <c r="T29" i="11"/>
  <c r="U29" i="11" s="1" a="1"/>
  <c r="U29" i="11" s="1"/>
  <c r="T25" i="11"/>
  <c r="U25" i="11" s="1" a="1"/>
  <c r="U25" i="11" s="1"/>
  <c r="T21" i="11"/>
  <c r="U21" i="11" s="1" a="1"/>
  <c r="U21" i="11" s="1"/>
  <c r="T17" i="11"/>
  <c r="U17" i="11" s="1" a="1"/>
  <c r="U17" i="11" s="1"/>
  <c r="T13" i="11"/>
  <c r="U13" i="11" s="1" a="1"/>
  <c r="U13" i="11" s="1"/>
  <c r="T9" i="11"/>
  <c r="T52" i="11"/>
  <c r="U52" i="11" s="1" a="1"/>
  <c r="U52" i="11" s="1"/>
  <c r="T44" i="11"/>
  <c r="U44" i="11" s="1" a="1"/>
  <c r="U44" i="11" s="1"/>
  <c r="T40" i="11"/>
  <c r="U40" i="11" s="1" a="1"/>
  <c r="U40" i="11" s="1"/>
  <c r="T36" i="11"/>
  <c r="U36" i="11" s="1" a="1"/>
  <c r="U36" i="11" s="1"/>
  <c r="T32" i="11"/>
  <c r="U32" i="11" s="1" a="1"/>
  <c r="U32" i="11" s="1"/>
  <c r="T24" i="11"/>
  <c r="U24" i="11" s="1" a="1"/>
  <c r="U24" i="11" s="1"/>
  <c r="T20" i="11"/>
  <c r="U20" i="11" s="1" a="1"/>
  <c r="U20" i="11" s="1"/>
  <c r="T16" i="11"/>
  <c r="U16" i="11" s="1" a="1"/>
  <c r="U16" i="11" s="1"/>
  <c r="T12" i="11"/>
  <c r="U12" i="11" s="1" a="1"/>
  <c r="U12" i="11" s="1"/>
  <c r="O34" i="14"/>
  <c r="N45" i="14"/>
  <c r="N29" i="14"/>
  <c r="N38" i="14"/>
  <c r="N25" i="14"/>
  <c r="O36" i="14"/>
  <c r="N41" i="14"/>
  <c r="N43" i="14"/>
  <c r="N34" i="14"/>
  <c r="O15" i="14"/>
  <c r="O26" i="14"/>
  <c r="O27" i="14"/>
  <c r="N23" i="14"/>
  <c r="O38" i="14"/>
  <c r="N44" i="14"/>
  <c r="O8" i="14"/>
  <c r="O21" i="14"/>
  <c r="O31" i="14"/>
  <c r="O7" i="14"/>
  <c r="O16" i="14"/>
  <c r="O19" i="14"/>
  <c r="O9" i="14"/>
  <c r="O12" i="14"/>
  <c r="N36" i="14"/>
  <c r="N7" i="14"/>
  <c r="N15" i="14"/>
  <c r="O13" i="14"/>
  <c r="O17" i="14"/>
  <c r="O22" i="14"/>
  <c r="O10" i="14"/>
  <c r="O28" i="14"/>
  <c r="N19" i="14"/>
  <c r="N26" i="14"/>
  <c r="N12" i="14"/>
  <c r="N31" i="14"/>
  <c r="O32" i="14"/>
  <c r="AE39" i="11"/>
  <c r="AE38" i="11"/>
  <c r="AE42" i="11"/>
  <c r="AD48" i="11"/>
  <c r="AD32" i="11"/>
  <c r="AE31" i="11"/>
  <c r="AE46" i="11"/>
  <c r="AE15" i="11"/>
  <c r="AD34" i="11"/>
  <c r="AD45" i="11"/>
  <c r="AE36" i="11"/>
  <c r="AE43" i="11"/>
  <c r="AE52" i="11"/>
  <c r="AD26" i="11"/>
  <c r="AD52" i="11"/>
  <c r="AE50" i="11"/>
  <c r="AE30" i="11"/>
  <c r="AE26" i="11"/>
  <c r="AD18" i="11"/>
  <c r="AD29" i="11"/>
  <c r="AD30" i="11"/>
  <c r="AE35" i="11"/>
  <c r="AD23" i="11"/>
  <c r="AD13" i="11"/>
  <c r="AE8" i="11"/>
  <c r="AD15" i="11"/>
  <c r="AE41" i="11"/>
  <c r="AE20" i="11"/>
  <c r="AD28" i="11"/>
  <c r="AD20" i="11"/>
  <c r="AE27" i="11"/>
  <c r="AE32" i="11"/>
  <c r="AD42" i="11"/>
  <c r="AD21" i="11"/>
  <c r="AD14" i="11"/>
  <c r="AE28" i="11"/>
  <c r="AD24" i="11"/>
  <c r="AE54" i="11"/>
  <c r="AD49" i="11"/>
  <c r="AE47" i="11"/>
  <c r="AE17" i="11"/>
  <c r="AD40" i="11"/>
  <c r="AE25" i="11"/>
  <c r="AE21" i="11"/>
  <c r="AD31" i="11"/>
  <c r="AD53" i="11"/>
  <c r="AD54" i="11"/>
  <c r="AE44" i="11"/>
  <c r="AE29" i="11"/>
  <c r="AE16" i="11"/>
  <c r="AD25" i="11"/>
  <c r="AD35" i="11"/>
  <c r="AE23" i="11"/>
  <c r="AE14" i="11"/>
  <c r="AD47" i="11"/>
  <c r="AD17" i="11"/>
  <c r="AD38" i="11"/>
  <c r="AE51" i="11"/>
  <c r="AE13" i="11"/>
  <c r="AD39" i="11"/>
  <c r="AD44" i="11"/>
  <c r="AD51" i="11"/>
  <c r="AE40" i="11"/>
  <c r="AD8" i="11"/>
  <c r="AD46" i="11"/>
  <c r="AE48" i="11"/>
  <c r="AD37" i="11"/>
  <c r="AE45" i="11"/>
  <c r="AD50" i="11"/>
  <c r="AD19" i="11"/>
  <c r="AE34" i="11"/>
  <c r="AE53" i="11"/>
  <c r="AE33" i="11"/>
  <c r="AD33" i="11"/>
  <c r="AD43" i="11"/>
  <c r="AE18" i="11"/>
  <c r="AE49" i="11"/>
  <c r="AD16" i="11"/>
  <c r="AE37" i="11"/>
  <c r="AD27" i="11"/>
  <c r="AE19" i="11"/>
  <c r="AD41" i="11"/>
  <c r="AE24" i="11"/>
  <c r="AE12" i="11"/>
  <c r="C8" i="10" l="1"/>
  <c r="C6" i="10"/>
  <c r="C10" i="10"/>
  <c r="C7" i="10"/>
  <c r="C9" i="10"/>
  <c r="U11" i="11" a="1"/>
  <c r="U11" i="11" s="1"/>
  <c r="U10" i="11" a="1"/>
  <c r="U10" i="11" s="1"/>
  <c r="U9" i="11" a="1"/>
  <c r="U9" i="11" s="1"/>
  <c r="C5" i="10"/>
  <c r="C4" i="10"/>
  <c r="U22" i="11" a="1"/>
  <c r="U22" i="11" s="1"/>
  <c r="U6" i="11" a="1"/>
  <c r="U6" i="11" s="1"/>
  <c r="U7" i="11" a="1"/>
  <c r="U7" i="11" s="1"/>
  <c r="U5" i="11" a="1"/>
  <c r="U5" i="11" s="1"/>
  <c r="V3" i="11"/>
  <c r="X3" i="11"/>
  <c r="Y3" i="11"/>
  <c r="W3" i="11"/>
  <c r="AD12" i="11"/>
  <c r="AE10" i="11"/>
  <c r="AE11" i="11"/>
  <c r="AD7" i="11"/>
  <c r="AD9" i="11"/>
  <c r="AE22" i="11"/>
  <c r="AE6" i="11"/>
  <c r="AD11" i="11"/>
  <c r="AE7" i="11"/>
  <c r="AD36" i="11"/>
  <c r="AE9" i="11"/>
  <c r="AD10" i="11"/>
  <c r="AD6" i="11"/>
  <c r="AD5" i="11"/>
  <c r="M8" i="11" l="1"/>
  <c r="M7" i="11"/>
  <c r="M6" i="11"/>
  <c r="M10" i="11"/>
  <c r="M9" i="11"/>
  <c r="M5" i="11"/>
  <c r="M11" i="11"/>
  <c r="L6" i="11"/>
  <c r="L10" i="11"/>
  <c r="L9" i="11"/>
  <c r="L8" i="11"/>
  <c r="L11" i="11"/>
  <c r="L7" i="11"/>
  <c r="L5" i="11"/>
  <c r="M18" i="11" l="1"/>
  <c r="M21" i="11"/>
  <c r="M20" i="11"/>
  <c r="M17" i="11"/>
  <c r="M22" i="11"/>
  <c r="M19" i="11"/>
  <c r="L17" i="11" l="1"/>
  <c r="L18" i="11"/>
  <c r="L19" i="11"/>
  <c r="L20" i="11"/>
  <c r="L21" i="11"/>
  <c r="AE5" i="11"/>
  <c r="X32" i="11"/>
  <c r="V48" i="11"/>
  <c r="AB23" i="11"/>
  <c r="AB14" i="11"/>
  <c r="AC30" i="11"/>
  <c r="AC20" i="11"/>
  <c r="AF51" i="11"/>
  <c r="AB51" i="11"/>
  <c r="AC25" i="11"/>
  <c r="AB5" i="11"/>
  <c r="AB33" i="11"/>
  <c r="AG47" i="11"/>
  <c r="W15" i="11"/>
  <c r="W54" i="11"/>
  <c r="X30" i="11"/>
  <c r="AD22" i="11"/>
  <c r="AB54" i="11"/>
  <c r="X27" i="11"/>
  <c r="W43" i="11"/>
  <c r="AB39" i="11"/>
  <c r="AF48" i="11"/>
  <c r="AB16" i="11"/>
  <c r="X48" i="11"/>
  <c r="Y15" i="11"/>
  <c r="AC31" i="11"/>
  <c r="AG18" i="11"/>
  <c r="AB8" i="11"/>
  <c r="AB18" i="11"/>
  <c r="AA29" i="11"/>
  <c r="AA48" i="11"/>
  <c r="V24" i="11"/>
  <c r="AA47" i="11"/>
  <c r="W28" i="11"/>
  <c r="V19" i="11"/>
  <c r="X47" i="11"/>
  <c r="X28" i="11"/>
  <c r="W22" i="11"/>
  <c r="X9" i="11"/>
  <c r="AB25" i="11"/>
  <c r="Y34" i="11"/>
  <c r="AC18" i="11"/>
  <c r="AG15" i="11"/>
  <c r="X17" i="11"/>
  <c r="AB22" i="11"/>
  <c r="AB26" i="11"/>
  <c r="AG17" i="11"/>
  <c r="AG7" i="11"/>
  <c r="AA30" i="11"/>
  <c r="X6" i="11"/>
  <c r="AB43" i="11"/>
  <c r="V16" i="11"/>
  <c r="AC22" i="11"/>
  <c r="AG48" i="11"/>
  <c r="AA36" i="11"/>
  <c r="AF43" i="11"/>
  <c r="X5" i="11"/>
  <c r="AC28" i="11"/>
  <c r="AC52" i="11"/>
  <c r="AC36" i="11"/>
  <c r="Y19" i="11"/>
  <c r="Y12" i="11"/>
  <c r="AF14" i="11"/>
  <c r="W42" i="11"/>
  <c r="AC16" i="11"/>
  <c r="V26" i="11"/>
  <c r="AB7" i="11"/>
  <c r="V44" i="11"/>
  <c r="Y30" i="11"/>
  <c r="AA42" i="11"/>
  <c r="AA35" i="11"/>
  <c r="AC23" i="11"/>
  <c r="AF18" i="11"/>
  <c r="X43" i="11"/>
  <c r="W50" i="11"/>
  <c r="Y40" i="11"/>
  <c r="V6" i="11"/>
  <c r="AA26" i="11"/>
  <c r="AG53" i="11"/>
  <c r="X51" i="11"/>
  <c r="AB42" i="11"/>
  <c r="AG50" i="11"/>
  <c r="X34" i="11"/>
  <c r="Y38" i="11"/>
  <c r="AG21" i="11"/>
  <c r="X16" i="11"/>
  <c r="X35" i="11"/>
  <c r="V27" i="11"/>
  <c r="AA5" i="11"/>
  <c r="AF32" i="11"/>
  <c r="AF45" i="11"/>
  <c r="AF13" i="11"/>
  <c r="AG42" i="11"/>
  <c r="W52" i="11"/>
  <c r="AB15" i="11"/>
  <c r="AA54" i="11"/>
  <c r="AA9" i="11"/>
  <c r="Y18" i="11"/>
  <c r="AG12" i="11"/>
  <c r="W6" i="11"/>
  <c r="V39" i="11"/>
  <c r="AB10" i="11"/>
  <c r="AG49" i="11"/>
  <c r="AF25" i="11"/>
  <c r="AC33" i="11"/>
  <c r="AC41" i="11"/>
  <c r="AA49" i="11"/>
  <c r="AB52" i="11"/>
  <c r="AG9" i="11"/>
  <c r="AC35" i="11"/>
  <c r="W34" i="11"/>
  <c r="Y33" i="11"/>
  <c r="Y35" i="11"/>
  <c r="V20" i="11"/>
  <c r="AG37" i="11"/>
  <c r="AC47" i="11"/>
  <c r="X8" i="11"/>
  <c r="AF41" i="11"/>
  <c r="V31" i="11"/>
  <c r="Y51" i="11"/>
  <c r="AB20" i="11"/>
  <c r="AB31" i="11"/>
  <c r="AB13" i="11"/>
  <c r="AG34" i="11"/>
  <c r="AC54" i="11"/>
  <c r="AF10" i="11"/>
  <c r="AG35" i="11"/>
  <c r="X39" i="11"/>
  <c r="AC44" i="11"/>
  <c r="V33" i="11"/>
  <c r="AF19" i="11"/>
  <c r="W26" i="11"/>
  <c r="AB29" i="11"/>
  <c r="W16" i="11"/>
  <c r="AF23" i="11"/>
  <c r="AC49" i="11"/>
  <c r="Y37" i="11"/>
  <c r="AC32" i="11"/>
  <c r="AG10" i="11"/>
  <c r="X38" i="11"/>
  <c r="Y39" i="11"/>
  <c r="V47" i="11"/>
  <c r="AF50" i="11"/>
  <c r="W20" i="11"/>
  <c r="AC26" i="11"/>
  <c r="W51" i="11"/>
  <c r="Y41" i="11"/>
  <c r="V32" i="11"/>
  <c r="V13" i="11"/>
  <c r="X20" i="11"/>
  <c r="AF33" i="11"/>
  <c r="AG29" i="11"/>
  <c r="V11" i="11"/>
  <c r="AG11" i="11"/>
  <c r="AF26" i="11"/>
  <c r="Y43" i="11"/>
  <c r="AG26" i="11"/>
  <c r="AG27" i="11"/>
  <c r="AF8" i="11"/>
  <c r="W41" i="11"/>
  <c r="X18" i="11"/>
  <c r="X14" i="11"/>
  <c r="AC37" i="11"/>
  <c r="AA7" i="11"/>
  <c r="AA6" i="11"/>
  <c r="AG14" i="11"/>
  <c r="V37" i="11"/>
  <c r="AC24" i="11"/>
  <c r="AB32" i="11"/>
  <c r="V7" i="11"/>
  <c r="AA19" i="11"/>
  <c r="AB41" i="11"/>
  <c r="X37" i="11"/>
  <c r="AF46" i="11"/>
  <c r="Y29" i="11"/>
  <c r="AA13" i="11"/>
  <c r="AF40" i="11"/>
  <c r="X29" i="11"/>
  <c r="AG23" i="11"/>
  <c r="W47" i="11"/>
  <c r="Y31" i="11"/>
  <c r="AA52" i="11"/>
  <c r="Y13" i="11"/>
  <c r="AG36" i="11"/>
  <c r="AC21" i="11"/>
  <c r="W23" i="11"/>
  <c r="AF49" i="11"/>
  <c r="V17" i="11"/>
  <c r="AG51" i="11"/>
  <c r="W21" i="11"/>
  <c r="Y44" i="11"/>
  <c r="Y54" i="11"/>
  <c r="W44" i="11"/>
  <c r="W32" i="11"/>
  <c r="Y42" i="11"/>
  <c r="AB36" i="11"/>
  <c r="V25" i="11"/>
  <c r="AB24" i="11"/>
  <c r="AB17" i="11"/>
  <c r="X45" i="11"/>
  <c r="AA31" i="11"/>
  <c r="AC9" i="11"/>
  <c r="V35" i="11"/>
  <c r="AC46" i="11"/>
  <c r="W9" i="11"/>
  <c r="V41" i="11"/>
  <c r="V49" i="11"/>
  <c r="X36" i="11"/>
  <c r="AA51" i="11"/>
  <c r="Y49" i="11"/>
  <c r="W25" i="11"/>
  <c r="X25" i="11"/>
  <c r="AB48" i="11"/>
  <c r="AC19" i="11"/>
  <c r="AG24" i="11"/>
  <c r="Y28" i="11"/>
  <c r="Y9" i="11"/>
  <c r="AA24" i="11"/>
  <c r="X49" i="11"/>
  <c r="AG44" i="11"/>
  <c r="W36" i="11"/>
  <c r="AG13" i="11"/>
  <c r="V15" i="11"/>
  <c r="AA32" i="11"/>
  <c r="V30" i="11"/>
  <c r="AC43" i="11"/>
  <c r="W31" i="11"/>
  <c r="AF44" i="11"/>
  <c r="AB38" i="11"/>
  <c r="X12" i="11"/>
  <c r="V45" i="11"/>
  <c r="W18" i="11"/>
  <c r="AB30" i="11"/>
  <c r="AC6" i="11"/>
  <c r="X52" i="11"/>
  <c r="AC12" i="11"/>
  <c r="AA11" i="11"/>
  <c r="W48" i="11"/>
  <c r="AA37" i="11"/>
  <c r="AB19" i="11"/>
  <c r="V18" i="11"/>
  <c r="Y24" i="11"/>
  <c r="AA23" i="11"/>
  <c r="X11" i="11"/>
  <c r="V40" i="11"/>
  <c r="AG43" i="11"/>
  <c r="AA39" i="11"/>
  <c r="AB21" i="11"/>
  <c r="AF52" i="11"/>
  <c r="AG45" i="11"/>
  <c r="Y52" i="11"/>
  <c r="W39" i="11"/>
  <c r="Y6" i="11"/>
  <c r="AA44" i="11"/>
  <c r="Y23" i="11"/>
  <c r="AA53" i="11"/>
  <c r="AF11" i="11"/>
  <c r="X33" i="11"/>
  <c r="AA40" i="11"/>
  <c r="W30" i="11"/>
  <c r="AC39" i="11"/>
  <c r="AF29" i="11"/>
  <c r="AG8" i="11"/>
  <c r="X23" i="11"/>
  <c r="V53" i="11"/>
  <c r="AC40" i="11"/>
  <c r="AB28" i="11"/>
  <c r="Y45" i="11"/>
  <c r="V42" i="11"/>
  <c r="W27" i="11"/>
  <c r="AB35" i="11"/>
  <c r="V34" i="11"/>
  <c r="V46" i="11"/>
  <c r="X13" i="11"/>
  <c r="AC34" i="11"/>
  <c r="W37" i="11"/>
  <c r="X15" i="11"/>
  <c r="AC38" i="11"/>
  <c r="W12" i="11"/>
  <c r="AF36" i="11"/>
  <c r="AG5" i="11"/>
  <c r="AA41" i="11"/>
  <c r="X41" i="11"/>
  <c r="Y26" i="11"/>
  <c r="X19" i="11"/>
  <c r="AB6" i="11"/>
  <c r="AF35" i="11"/>
  <c r="AG19" i="11"/>
  <c r="Y50" i="11"/>
  <c r="AF12" i="11"/>
  <c r="AF21" i="11"/>
  <c r="W29" i="11"/>
  <c r="V23" i="11"/>
  <c r="AG38" i="11"/>
  <c r="AG54" i="11"/>
  <c r="X10" i="11"/>
  <c r="X26" i="11"/>
  <c r="V51" i="11"/>
  <c r="AA16" i="11"/>
  <c r="V54" i="11"/>
  <c r="AB9" i="11"/>
  <c r="Y7" i="11"/>
  <c r="V10" i="11"/>
  <c r="V12" i="11"/>
  <c r="W17" i="11"/>
  <c r="Y14" i="11"/>
  <c r="AA8" i="11"/>
  <c r="W19" i="11"/>
  <c r="Y16" i="11"/>
  <c r="Y20" i="11"/>
  <c r="AA25" i="11"/>
  <c r="AG25" i="11"/>
  <c r="V38" i="11"/>
  <c r="AA17" i="11"/>
  <c r="AF31" i="11"/>
  <c r="W33" i="11"/>
  <c r="W8" i="11"/>
  <c r="AG32" i="11"/>
  <c r="AF27" i="11"/>
  <c r="Y17" i="11"/>
  <c r="AC11" i="11"/>
  <c r="AA28" i="11"/>
  <c r="W5" i="11"/>
  <c r="V9" i="11"/>
  <c r="X44" i="11"/>
  <c r="V5" i="11"/>
  <c r="AG52" i="11"/>
  <c r="X22" i="11"/>
  <c r="Y48" i="11"/>
  <c r="AA14" i="11"/>
  <c r="AF16" i="11"/>
  <c r="AC8" i="11"/>
  <c r="AA34" i="11"/>
  <c r="W11" i="11"/>
  <c r="AF20" i="11"/>
  <c r="Y27" i="11"/>
  <c r="AA50" i="11"/>
  <c r="AC42" i="11"/>
  <c r="X7" i="11"/>
  <c r="AG46" i="11"/>
  <c r="AG33" i="11"/>
  <c r="V36" i="11"/>
  <c r="AF28" i="11"/>
  <c r="X42" i="11"/>
  <c r="V43" i="11"/>
  <c r="AA12" i="11"/>
  <c r="Y47" i="11"/>
  <c r="Y32" i="11"/>
  <c r="X50" i="11"/>
  <c r="AF9" i="11"/>
  <c r="Y36" i="11"/>
  <c r="AC17" i="11"/>
  <c r="AF6" i="11"/>
  <c r="V29" i="11"/>
  <c r="Y5" i="11"/>
  <c r="AF53" i="11"/>
  <c r="AB12" i="11"/>
  <c r="V28" i="11"/>
  <c r="V21" i="11"/>
  <c r="AF38" i="11"/>
  <c r="AA43" i="11"/>
  <c r="AF47" i="11"/>
  <c r="AG16" i="11"/>
  <c r="AG40" i="11"/>
  <c r="W10" i="11"/>
  <c r="AB27" i="11"/>
  <c r="Y11" i="11"/>
  <c r="AA18" i="11"/>
  <c r="AG31" i="11"/>
  <c r="X46" i="11"/>
  <c r="AB40" i="11"/>
  <c r="AA20" i="11"/>
  <c r="AB53" i="11"/>
  <c r="X40" i="11"/>
  <c r="AG30" i="11"/>
  <c r="AF17" i="11"/>
  <c r="W35" i="11"/>
  <c r="V14" i="11"/>
  <c r="AA45" i="11"/>
  <c r="AC27" i="11"/>
  <c r="W45" i="11"/>
  <c r="AF37" i="11"/>
  <c r="X24" i="11"/>
  <c r="X54" i="11"/>
  <c r="W40" i="11"/>
  <c r="W53" i="11"/>
  <c r="X31" i="11"/>
  <c r="AB37" i="11"/>
  <c r="AC10" i="11"/>
  <c r="AG41" i="11"/>
  <c r="AC29" i="11"/>
  <c r="AF54" i="11"/>
  <c r="AA33" i="11"/>
  <c r="AG22" i="11"/>
  <c r="AC14" i="11"/>
  <c r="W49" i="11"/>
  <c r="X53" i="11"/>
  <c r="AC5" i="11"/>
  <c r="AB11" i="11"/>
  <c r="AA38" i="11"/>
  <c r="AA15" i="11"/>
  <c r="AB46" i="11"/>
  <c r="Y22" i="11"/>
  <c r="AG39" i="11"/>
  <c r="AC53" i="11"/>
  <c r="AA27" i="11"/>
  <c r="AG28" i="11"/>
  <c r="AF30" i="11"/>
  <c r="AG6" i="11"/>
  <c r="W38" i="11"/>
  <c r="W46" i="11"/>
  <c r="V52" i="11"/>
  <c r="AF5" i="11"/>
  <c r="AA21" i="11"/>
  <c r="V22" i="11"/>
  <c r="AF22" i="11"/>
  <c r="AF24" i="11"/>
  <c r="Y21" i="11"/>
  <c r="AC50" i="11"/>
  <c r="AC7" i="11"/>
  <c r="AG20" i="11"/>
  <c r="V8" i="11"/>
  <c r="Y53" i="11"/>
  <c r="AA46" i="11"/>
  <c r="AC13" i="11"/>
  <c r="Y8" i="11"/>
  <c r="Y10" i="11"/>
  <c r="AC15" i="11"/>
  <c r="AF15" i="11"/>
  <c r="AB44" i="11"/>
  <c r="AC51" i="11"/>
  <c r="AB45" i="11"/>
  <c r="X21" i="11"/>
  <c r="W24" i="11"/>
  <c r="Y25" i="11"/>
  <c r="AF34" i="11"/>
  <c r="AA22" i="11"/>
  <c r="AB47" i="11"/>
  <c r="W7" i="11"/>
  <c r="AF7" i="11"/>
  <c r="AB34" i="11"/>
  <c r="W13" i="11"/>
  <c r="AC48" i="11"/>
  <c r="AF39" i="11"/>
  <c r="V50" i="11"/>
  <c r="AF42" i="11"/>
  <c r="Y46" i="11"/>
  <c r="AC45" i="11"/>
  <c r="AB49" i="11"/>
  <c r="AB50" i="11"/>
  <c r="AA10" i="11"/>
  <c r="W14" i="11"/>
  <c r="L16" i="11" l="1"/>
  <c r="L22" i="11"/>
  <c r="M16" i="11"/>
  <c r="AL14" i="11"/>
  <c r="AK14" i="11"/>
  <c r="AJ14" i="11"/>
  <c r="H6" i="11"/>
  <c r="E5" i="10" s="1"/>
  <c r="AK13" i="11"/>
  <c r="H5" i="11"/>
  <c r="E4" i="10" s="1"/>
  <c r="AJ13" i="11"/>
  <c r="AL13" i="11"/>
  <c r="AK7" i="11"/>
  <c r="AJ7" i="11"/>
  <c r="AL7" i="11"/>
  <c r="AL24" i="11"/>
  <c r="AK24" i="11"/>
  <c r="AJ24" i="11"/>
  <c r="N18" i="11"/>
  <c r="M6" i="10" s="1"/>
  <c r="K18" i="11"/>
  <c r="K16" i="11"/>
  <c r="AK46" i="11"/>
  <c r="AL46" i="11"/>
  <c r="AJ46" i="11"/>
  <c r="AK38" i="11"/>
  <c r="AJ38" i="11"/>
  <c r="AL38" i="11"/>
  <c r="I18" i="11"/>
  <c r="AL49" i="11"/>
  <c r="AK49" i="11"/>
  <c r="AJ49" i="11"/>
  <c r="K17" i="11"/>
  <c r="AL53" i="11"/>
  <c r="AK53" i="11"/>
  <c r="AJ53" i="11"/>
  <c r="AK40" i="11"/>
  <c r="AJ40" i="11"/>
  <c r="AL40" i="11"/>
  <c r="AJ45" i="11"/>
  <c r="AL45" i="11"/>
  <c r="AK45" i="11"/>
  <c r="G6" i="11"/>
  <c r="D5" i="10" s="1"/>
  <c r="AJ35" i="11"/>
  <c r="AL35" i="11"/>
  <c r="AK35" i="11"/>
  <c r="N20" i="11"/>
  <c r="M8" i="10" s="1"/>
  <c r="I21" i="11"/>
  <c r="AL10" i="11"/>
  <c r="AK10" i="11"/>
  <c r="AJ10" i="11"/>
  <c r="K20" i="11"/>
  <c r="AL11" i="11"/>
  <c r="AJ11" i="11"/>
  <c r="AK11" i="11"/>
  <c r="N19" i="11"/>
  <c r="M7" i="10" s="1"/>
  <c r="I17" i="11"/>
  <c r="AK5" i="11"/>
  <c r="AJ5" i="11"/>
  <c r="AL5" i="11"/>
  <c r="P5" i="11"/>
  <c r="P6" i="11" s="1"/>
  <c r="P7" i="11" s="1"/>
  <c r="P8" i="11" s="1"/>
  <c r="P9" i="11" s="1"/>
  <c r="P10" i="11" s="1"/>
  <c r="P11" i="11" s="1"/>
  <c r="AJ8" i="11"/>
  <c r="AL8" i="11"/>
  <c r="AK8" i="11"/>
  <c r="AJ33" i="11"/>
  <c r="AL33" i="11"/>
  <c r="AK33" i="11"/>
  <c r="I20" i="11"/>
  <c r="AK19" i="11"/>
  <c r="AJ19" i="11"/>
  <c r="H11" i="11"/>
  <c r="E10" i="10" s="1"/>
  <c r="AL19" i="11"/>
  <c r="AK17" i="11"/>
  <c r="AJ17" i="11"/>
  <c r="AL17" i="11"/>
  <c r="H9" i="11"/>
  <c r="E8" i="10" s="1"/>
  <c r="I19" i="11"/>
  <c r="AL29" i="11"/>
  <c r="AK29" i="11"/>
  <c r="AJ29" i="11"/>
  <c r="H22" i="11"/>
  <c r="AL12" i="11"/>
  <c r="AJ12" i="11"/>
  <c r="AK12" i="11"/>
  <c r="H18" i="11"/>
  <c r="AL37" i="11"/>
  <c r="AK37" i="11"/>
  <c r="AJ37" i="11"/>
  <c r="H16" i="11"/>
  <c r="AK27" i="11"/>
  <c r="AJ27" i="11"/>
  <c r="AL27" i="11"/>
  <c r="AJ30" i="11"/>
  <c r="AK30" i="11"/>
  <c r="AL30" i="11"/>
  <c r="AJ39" i="11"/>
  <c r="AK39" i="11"/>
  <c r="AL39" i="11"/>
  <c r="G10" i="11"/>
  <c r="D9" i="10" s="1"/>
  <c r="J22" i="11"/>
  <c r="S28" i="11" s="1"/>
  <c r="AJ48" i="11"/>
  <c r="AL48" i="11"/>
  <c r="AK48" i="11"/>
  <c r="AL18" i="11"/>
  <c r="AJ18" i="11"/>
  <c r="H10" i="11"/>
  <c r="E9" i="10" s="1"/>
  <c r="AK18" i="11"/>
  <c r="AJ31" i="11"/>
  <c r="AL31" i="11"/>
  <c r="AK31" i="11"/>
  <c r="G7" i="11"/>
  <c r="D6" i="10" s="1"/>
  <c r="AJ36" i="11"/>
  <c r="AK36" i="11"/>
  <c r="AL36" i="11"/>
  <c r="K22" i="11"/>
  <c r="AJ25" i="11"/>
  <c r="AK25" i="11"/>
  <c r="AL25" i="11"/>
  <c r="AL9" i="11"/>
  <c r="AK9" i="11"/>
  <c r="AJ9" i="11"/>
  <c r="J20" i="11"/>
  <c r="S24" i="11" s="1"/>
  <c r="AJ32" i="11"/>
  <c r="AL32" i="11"/>
  <c r="AK32" i="11"/>
  <c r="AL44" i="11"/>
  <c r="AJ44" i="11"/>
  <c r="AK44" i="11"/>
  <c r="AL21" i="11"/>
  <c r="AJ21" i="11"/>
  <c r="AK21" i="11"/>
  <c r="G9" i="11"/>
  <c r="D8" i="10" s="1"/>
  <c r="AK23" i="11"/>
  <c r="AJ23" i="11"/>
  <c r="AL23" i="11"/>
  <c r="AK47" i="11"/>
  <c r="AJ47" i="11"/>
  <c r="AL47" i="11"/>
  <c r="I16" i="11"/>
  <c r="I22" i="11"/>
  <c r="H17" i="11"/>
  <c r="H21" i="11"/>
  <c r="AL41" i="11"/>
  <c r="AJ41" i="11"/>
  <c r="AK41" i="11"/>
  <c r="G5" i="11"/>
  <c r="D4" i="10" s="1"/>
  <c r="AK51" i="11"/>
  <c r="AJ51" i="11"/>
  <c r="AL51" i="11"/>
  <c r="AL20" i="11"/>
  <c r="AK20" i="11"/>
  <c r="AJ20" i="11"/>
  <c r="H8" i="11"/>
  <c r="E7" i="10" s="1"/>
  <c r="AL16" i="11"/>
  <c r="AK16" i="11"/>
  <c r="AJ16" i="11"/>
  <c r="AJ26" i="11"/>
  <c r="AL26" i="11"/>
  <c r="AK26" i="11"/>
  <c r="N22" i="11"/>
  <c r="M10" i="10" s="1"/>
  <c r="J16" i="11"/>
  <c r="S16" i="11" s="1"/>
  <c r="AL34" i="11"/>
  <c r="AK34" i="11"/>
  <c r="AJ34" i="11"/>
  <c r="AK6" i="11"/>
  <c r="AL6" i="11"/>
  <c r="AJ6" i="11"/>
  <c r="J18" i="11"/>
  <c r="S20" i="11" s="1"/>
  <c r="AJ52" i="11"/>
  <c r="AL52" i="11"/>
  <c r="AK52" i="11"/>
  <c r="N16" i="11"/>
  <c r="M4" i="10" s="1"/>
  <c r="H19" i="11"/>
  <c r="AJ50" i="11"/>
  <c r="AL50" i="11"/>
  <c r="AK50" i="11"/>
  <c r="N21" i="11"/>
  <c r="M9" i="10" s="1"/>
  <c r="K19" i="11"/>
  <c r="AK42" i="11"/>
  <c r="AJ42" i="11"/>
  <c r="AL42" i="11"/>
  <c r="N17" i="11"/>
  <c r="M5" i="10" s="1"/>
  <c r="G8" i="11"/>
  <c r="D7" i="10" s="1"/>
  <c r="H20" i="11"/>
  <c r="K21" i="11"/>
  <c r="AL22" i="11"/>
  <c r="AJ22" i="11"/>
  <c r="AK22" i="11"/>
  <c r="G11" i="11"/>
  <c r="D10" i="10" s="1"/>
  <c r="AL28" i="11"/>
  <c r="AK28" i="11"/>
  <c r="AJ28" i="11"/>
  <c r="J21" i="11"/>
  <c r="S26" i="11" s="1"/>
  <c r="J19" i="11"/>
  <c r="S22" i="11" s="1"/>
  <c r="AJ43" i="11"/>
  <c r="AL43" i="11"/>
  <c r="AK43" i="11"/>
  <c r="AK54" i="11"/>
  <c r="AL54" i="11"/>
  <c r="AJ54" i="11"/>
  <c r="H7" i="11"/>
  <c r="E6" i="10" s="1"/>
  <c r="AK15" i="11"/>
  <c r="AJ15" i="11"/>
  <c r="AL15" i="11"/>
  <c r="O16" i="11"/>
  <c r="O17" i="11" s="1"/>
  <c r="O18" i="11" s="1"/>
  <c r="O19" i="11" s="1"/>
  <c r="O20" i="11" s="1"/>
  <c r="O21" i="11" s="1"/>
  <c r="O22" i="11" s="1"/>
  <c r="P16" i="11"/>
  <c r="P17" i="11" s="1"/>
  <c r="P18" i="11" s="1"/>
  <c r="P19" i="11" s="1"/>
  <c r="P20" i="11" s="1"/>
  <c r="P21" i="11" s="1"/>
  <c r="P22" i="11" s="1"/>
  <c r="J17" i="11"/>
  <c r="S18" i="11" s="1"/>
  <c r="K11" i="11"/>
  <c r="J5" i="11"/>
  <c r="Z50" i="11"/>
  <c r="Z8" i="11"/>
  <c r="Z52" i="11"/>
  <c r="Z28" i="11"/>
  <c r="Z36" i="11"/>
  <c r="Z5" i="11"/>
  <c r="Z12" i="11"/>
  <c r="Z54" i="11"/>
  <c r="Z51" i="11"/>
  <c r="Z46" i="11"/>
  <c r="Z53" i="11"/>
  <c r="Z45" i="11"/>
  <c r="Z30" i="11"/>
  <c r="Z15" i="11"/>
  <c r="Z49" i="11"/>
  <c r="Z17" i="11"/>
  <c r="Z37" i="11"/>
  <c r="Z11" i="11"/>
  <c r="Z13" i="11"/>
  <c r="Z47" i="11"/>
  <c r="Z20" i="11"/>
  <c r="Z39" i="11"/>
  <c r="Z44" i="11"/>
  <c r="Z16" i="11"/>
  <c r="Z22" i="11"/>
  <c r="Z14" i="11"/>
  <c r="Z21" i="11"/>
  <c r="Z29" i="11"/>
  <c r="Z43" i="11"/>
  <c r="Z9" i="11"/>
  <c r="Z38" i="11"/>
  <c r="Z10" i="11"/>
  <c r="Z23" i="11"/>
  <c r="Z34" i="11"/>
  <c r="Z42" i="11"/>
  <c r="Z40" i="11"/>
  <c r="Z18" i="11"/>
  <c r="Z41" i="11"/>
  <c r="Z35" i="11"/>
  <c r="Z25" i="11"/>
  <c r="Z7" i="11"/>
  <c r="Z32" i="11"/>
  <c r="Z33" i="11"/>
  <c r="Z31" i="11"/>
  <c r="Z27" i="11"/>
  <c r="Z6" i="11"/>
  <c r="Z26" i="11"/>
  <c r="Z19" i="11"/>
  <c r="Z24" i="11"/>
  <c r="Z48" i="11"/>
  <c r="I9" i="11" l="1"/>
  <c r="K7" i="11"/>
  <c r="K8" i="11"/>
  <c r="K10" i="11"/>
  <c r="K9" i="11"/>
  <c r="J7" i="11"/>
  <c r="I5" i="11"/>
  <c r="I7" i="11"/>
  <c r="I6" i="11"/>
  <c r="K6" i="11"/>
  <c r="I8" i="11"/>
  <c r="J8" i="11"/>
  <c r="I11" i="11"/>
  <c r="J10" i="11"/>
  <c r="I10" i="11"/>
  <c r="J6" i="11"/>
  <c r="J9" i="11"/>
  <c r="J11" i="11"/>
  <c r="K5" i="11"/>
  <c r="N11" i="11"/>
  <c r="R28" i="11" s="1"/>
  <c r="N10" i="11"/>
  <c r="N6" i="11"/>
  <c r="R18" i="11" s="1"/>
  <c r="N8" i="11"/>
  <c r="R22" i="11" s="1"/>
  <c r="N5" i="11"/>
  <c r="N9" i="11"/>
  <c r="N7" i="11"/>
  <c r="R20" i="11" s="1"/>
  <c r="Q5" i="11"/>
  <c r="Q6" i="11" s="1"/>
  <c r="Q7" i="11" s="1"/>
  <c r="Q8" i="11" s="1"/>
  <c r="Q9" i="11" s="1"/>
  <c r="Q10" i="11" s="1"/>
  <c r="Q11" i="11" s="1"/>
  <c r="R16" i="11"/>
  <c r="R24" i="11" l="1"/>
  <c r="R26" i="11"/>
</calcChain>
</file>

<file path=xl/sharedStrings.xml><?xml version="1.0" encoding="utf-8"?>
<sst xmlns="http://schemas.openxmlformats.org/spreadsheetml/2006/main" count="152" uniqueCount="89">
  <si>
    <t>ศศิธร แสงทอง</t>
  </si>
  <si>
    <t>Month</t>
  </si>
  <si>
    <t>Net Received</t>
  </si>
  <si>
    <t>Annual Bonus</t>
  </si>
  <si>
    <t>AFYP</t>
  </si>
  <si>
    <t>Cancel</t>
  </si>
  <si>
    <t>Commission</t>
  </si>
  <si>
    <t>MonthReward</t>
  </si>
  <si>
    <t>Quaterly Reward</t>
  </si>
  <si>
    <t>Time Bonus</t>
  </si>
  <si>
    <t>Salary</t>
  </si>
  <si>
    <t>Cut Money</t>
  </si>
  <si>
    <t>RealDoneInMonth</t>
  </si>
  <si>
    <t>TopSale</t>
  </si>
  <si>
    <t>Count</t>
  </si>
  <si>
    <t>Target</t>
  </si>
  <si>
    <t>IsQuaterly</t>
  </si>
  <si>
    <t>IsAnnual</t>
  </si>
  <si>
    <t>IsTimeBonus</t>
  </si>
  <si>
    <t>Net Commission</t>
  </si>
  <si>
    <t>Calculation</t>
  </si>
  <si>
    <t>Actual Start Position</t>
  </si>
  <si>
    <t>Maximum Position</t>
  </si>
  <si>
    <t>Maximum ScrollBar Value</t>
  </si>
  <si>
    <t>c</t>
  </si>
  <si>
    <t>d</t>
  </si>
  <si>
    <t>p</t>
  </si>
  <si>
    <t>Col</t>
  </si>
  <si>
    <t>count</t>
  </si>
  <si>
    <t>Start Row</t>
  </si>
  <si>
    <t>Max Row</t>
  </si>
  <si>
    <t>สูตร ==&gt;</t>
  </si>
  <si>
    <t>Han Solo</t>
  </si>
  <si>
    <t>SaleName</t>
  </si>
  <si>
    <t>No</t>
  </si>
  <si>
    <t>MonthMatch</t>
  </si>
  <si>
    <t>g</t>
  </si>
  <si>
    <t>h</t>
  </si>
  <si>
    <t>NetReceived</t>
  </si>
  <si>
    <t>o</t>
  </si>
  <si>
    <t>n</t>
  </si>
  <si>
    <t>RealDone</t>
  </si>
  <si>
    <t>TimeBonus</t>
  </si>
  <si>
    <t>k</t>
  </si>
  <si>
    <t>Quaterly</t>
  </si>
  <si>
    <t>Annual</t>
  </si>
  <si>
    <t>CutMoney</t>
  </si>
  <si>
    <t>i</t>
  </si>
  <si>
    <t>j</t>
  </si>
  <si>
    <t>m</t>
  </si>
  <si>
    <t>Team</t>
  </si>
  <si>
    <t>Dom Kobb</t>
  </si>
  <si>
    <t>James Cole</t>
  </si>
  <si>
    <t>Ariadne</t>
  </si>
  <si>
    <t>Rachel Solando</t>
  </si>
  <si>
    <t>Bruce Wayne</t>
  </si>
  <si>
    <t>Hannibal Lecter</t>
  </si>
  <si>
    <t>Freddy Krueger</t>
  </si>
  <si>
    <t>Clarice Starling</t>
  </si>
  <si>
    <t>MinimumAFYP</t>
  </si>
  <si>
    <t>StandardAFYP</t>
  </si>
  <si>
    <t>BelowMinimum (Red)</t>
  </si>
  <si>
    <t>BelowStandard (Yellow)</t>
  </si>
  <si>
    <t>AboveStandard (Green)</t>
  </si>
  <si>
    <t>red</t>
  </si>
  <si>
    <t>yellow</t>
  </si>
  <si>
    <t>green</t>
  </si>
  <si>
    <t>mini</t>
  </si>
  <si>
    <t>standard</t>
  </si>
  <si>
    <t>top</t>
  </si>
  <si>
    <t>commission</t>
  </si>
  <si>
    <t>Monthly</t>
  </si>
  <si>
    <t>Y Scale</t>
  </si>
  <si>
    <t>Min</t>
  </si>
  <si>
    <t>Max</t>
  </si>
  <si>
    <t>PA</t>
  </si>
  <si>
    <t>QR</t>
  </si>
  <si>
    <t>AR</t>
  </si>
  <si>
    <t>min2</t>
  </si>
  <si>
    <t>max2</t>
  </si>
  <si>
    <t>Monthly Income</t>
  </si>
  <si>
    <t>MR</t>
  </si>
  <si>
    <t>q</t>
  </si>
  <si>
    <t>Y Scale 2</t>
  </si>
  <si>
    <t>top2</t>
  </si>
  <si>
    <t>NetReceived2</t>
  </si>
  <si>
    <t>รายได้</t>
  </si>
  <si>
    <t>ผลงานการขาย</t>
  </si>
  <si>
    <t>Comm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</si>
</sst>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.000"/>
    <numFmt numFmtId="188" formatCode="_(* #,##0.00_);_(* \(#,##0.00\);_(* &quot;-&quot;??_);_(@_)"/>
    <numFmt numFmtId="189" formatCode="[$-1070000]mmm\-yy;@"/>
  </numFmts>
  <fonts count="29" x14ac:knownFonts="1">
    <font>
      <sz val="11"/>
      <color theme="1"/>
      <name val="Tahoma"/>
      <family val="2"/>
      <charset val="222"/>
      <scheme val="minor"/>
    </font>
    <font>
      <sz val="10"/>
      <name val="MS Sans Serif"/>
      <family val="2"/>
      <charset val="222"/>
    </font>
    <font>
      <sz val="10"/>
      <name val="MS Sans Serif"/>
      <family val="2"/>
      <charset val="222"/>
    </font>
    <font>
      <sz val="14"/>
      <name val="AngsanaUPC"/>
      <family val="1"/>
      <charset val="222"/>
    </font>
    <font>
      <sz val="10"/>
      <name val="ARIAL"/>
      <family val="2"/>
    </font>
    <font>
      <sz val="9"/>
      <name val="Tahoma"/>
      <family val="2"/>
    </font>
    <font>
      <b/>
      <sz val="12"/>
      <name val="Arial"/>
      <family val="2"/>
    </font>
    <font>
      <b/>
      <sz val="11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sz val="14"/>
      <color rgb="FFFF0000"/>
      <name val="Wingdings"/>
      <charset val="2"/>
    </font>
    <font>
      <sz val="11"/>
      <color rgb="FFFF0000"/>
      <name val="Tahoma"/>
      <family val="2"/>
      <charset val="222"/>
      <scheme val="minor"/>
    </font>
    <font>
      <sz val="10"/>
      <color rgb="FFFF0000"/>
      <name val="Tahoma"/>
      <family val="2"/>
      <charset val="222"/>
      <scheme val="minor"/>
    </font>
    <font>
      <sz val="11"/>
      <color rgb="FFFF0000"/>
      <name val="Wingdings"/>
      <charset val="2"/>
    </font>
    <font>
      <sz val="12"/>
      <color rgb="FFFF0000"/>
      <name val="Wingdings"/>
      <charset val="2"/>
    </font>
    <font>
      <sz val="14"/>
      <color rgb="FFFF00FF"/>
      <name val="Wingdings"/>
      <charset val="2"/>
    </font>
    <font>
      <sz val="16"/>
      <color rgb="FFFF3300"/>
      <name val="Wingdings"/>
      <charset val="2"/>
    </font>
    <font>
      <sz val="10"/>
      <color theme="6" tint="-0.499984740745262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b/>
      <sz val="11"/>
      <name val="Arial"/>
      <family val="2"/>
    </font>
    <font>
      <sz val="9"/>
      <color rgb="FF0070C0"/>
      <name val="Segoe UI"/>
      <family val="2"/>
    </font>
    <font>
      <b/>
      <sz val="8"/>
      <color theme="1"/>
      <name val="Tahoma"/>
      <family val="2"/>
      <scheme val="minor"/>
    </font>
    <font>
      <b/>
      <sz val="8"/>
      <color rgb="FF0070C0"/>
      <name val="Tahoma"/>
      <family val="2"/>
      <scheme val="minor"/>
    </font>
    <font>
      <sz val="11"/>
      <color rgb="FF0070C0"/>
      <name val="Wingdings 3"/>
      <family val="1"/>
      <charset val="2"/>
    </font>
    <font>
      <sz val="9"/>
      <color theme="5" tint="-0.499984740745262"/>
      <name val="Tahoma"/>
      <family val="2"/>
      <charset val="222"/>
      <scheme val="minor"/>
    </font>
    <font>
      <sz val="9"/>
      <color rgb="FF7030A0"/>
      <name val="Tahoma"/>
      <family val="2"/>
      <charset val="222"/>
      <scheme val="minor"/>
    </font>
    <font>
      <sz val="11"/>
      <color theme="3" tint="-0.499984740745262"/>
      <name val="Tahoma"/>
      <family val="2"/>
      <charset val="222"/>
      <scheme val="minor"/>
    </font>
    <font>
      <sz val="11"/>
      <color theme="5" tint="-0.499984740745262"/>
      <name val="Tahoma"/>
      <family val="2"/>
      <charset val="22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 style="dashDotDot">
        <color theme="1" tint="0.24994659260841701"/>
      </bottom>
      <diagonal/>
    </border>
    <border>
      <left/>
      <right/>
      <top style="thin">
        <color indexed="64"/>
      </top>
      <bottom style="dashDotDot">
        <color theme="1" tint="0.2499465926084170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DotDot">
        <color theme="1" tint="0.24994659260841701"/>
      </bottom>
      <diagonal/>
    </border>
    <border>
      <left/>
      <right style="thin">
        <color indexed="64"/>
      </right>
      <top style="thin">
        <color indexed="64"/>
      </top>
      <bottom style="dashDotDot">
        <color theme="1" tint="0.24994659260841701"/>
      </bottom>
      <diagonal/>
    </border>
    <border>
      <left style="thin">
        <color indexed="64"/>
      </left>
      <right style="thin">
        <color indexed="64"/>
      </right>
      <top style="dashDotDot">
        <color theme="1" tint="0.24994659260841701"/>
      </top>
      <bottom style="dashDotDot">
        <color theme="1" tint="0.24994659260841701"/>
      </bottom>
      <diagonal/>
    </border>
    <border>
      <left style="thin">
        <color indexed="64"/>
      </left>
      <right/>
      <top style="dashDotDot">
        <color theme="1" tint="0.24994659260841701"/>
      </top>
      <bottom style="dashDotDot">
        <color theme="1" tint="0.24994659260841701"/>
      </bottom>
      <diagonal/>
    </border>
    <border>
      <left/>
      <right/>
      <top style="dashDotDot">
        <color theme="1" tint="0.24994659260841701"/>
      </top>
      <bottom style="dashDotDot">
        <color theme="1" tint="0.24994659260841701"/>
      </bottom>
      <diagonal/>
    </border>
    <border>
      <left style="double">
        <color indexed="64"/>
      </left>
      <right style="thin">
        <color indexed="64"/>
      </right>
      <top style="dashDotDot">
        <color theme="1" tint="0.24994659260841701"/>
      </top>
      <bottom style="dashDotDot">
        <color theme="1" tint="0.24994659260841701"/>
      </bottom>
      <diagonal/>
    </border>
    <border>
      <left/>
      <right style="thin">
        <color indexed="64"/>
      </right>
      <top style="dashDotDot">
        <color theme="1" tint="0.24994659260841701"/>
      </top>
      <bottom style="dashDotDot">
        <color theme="1" tint="0.24994659260841701"/>
      </bottom>
      <diagonal/>
    </border>
    <border>
      <left style="thin">
        <color indexed="64"/>
      </left>
      <right/>
      <top style="dashDotDot">
        <color theme="1" tint="0.24994659260841701"/>
      </top>
      <bottom style="thin">
        <color indexed="64"/>
      </bottom>
      <diagonal/>
    </border>
    <border>
      <left/>
      <right/>
      <top style="dashDotDot">
        <color theme="1" tint="0.24994659260841701"/>
      </top>
      <bottom style="thin">
        <color indexed="64"/>
      </bottom>
      <diagonal/>
    </border>
    <border>
      <left/>
      <right style="thin">
        <color indexed="64"/>
      </right>
      <top style="dashDotDot">
        <color theme="1" tint="0.2499465926084170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theme="1" tint="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theme="1" tint="0.2499465926084170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4" fillId="0" borderId="0"/>
    <xf numFmtId="0" fontId="4" fillId="0" borderId="0"/>
    <xf numFmtId="18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8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</cellStyleXfs>
  <cellXfs count="127">
    <xf numFmtId="0" fontId="0" fillId="0" borderId="0" xfId="0"/>
    <xf numFmtId="4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4" fontId="0" fillId="2" borderId="0" xfId="0" applyNumberFormat="1" applyFill="1"/>
    <xf numFmtId="4" fontId="0" fillId="2" borderId="0" xfId="0" applyNumberFormat="1" applyFill="1" applyAlignment="1">
      <alignment horizontal="center"/>
    </xf>
    <xf numFmtId="0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2" xfId="0" applyFont="1" applyBorder="1" applyAlignment="1" applyProtection="1">
      <alignment vertical="center"/>
      <protection hidden="1"/>
    </xf>
    <xf numFmtId="0" fontId="4" fillId="0" borderId="3" xfId="0" applyFont="1" applyBorder="1" applyAlignment="1" applyProtection="1">
      <alignment vertical="center"/>
      <protection hidden="1"/>
    </xf>
    <xf numFmtId="0" fontId="4" fillId="0" borderId="4" xfId="0" applyFont="1" applyBorder="1" applyAlignment="1" applyProtection="1">
      <alignment vertical="center"/>
      <protection hidden="1"/>
    </xf>
    <xf numFmtId="0" fontId="4" fillId="0" borderId="5" xfId="0" applyFont="1" applyBorder="1" applyAlignment="1" applyProtection="1">
      <alignment vertical="center"/>
      <protection hidden="1"/>
    </xf>
    <xf numFmtId="0" fontId="4" fillId="0" borderId="7" xfId="0" applyFont="1" applyBorder="1" applyAlignment="1" applyProtection="1">
      <alignment vertical="center"/>
      <protection hidden="1"/>
    </xf>
    <xf numFmtId="0" fontId="4" fillId="0" borderId="5" xfId="0" applyNumberFormat="1" applyFont="1" applyFill="1" applyBorder="1" applyAlignment="1" applyProtection="1">
      <alignment vertical="center"/>
      <protection hidden="1"/>
    </xf>
    <xf numFmtId="0" fontId="4" fillId="0" borderId="0" xfId="0" applyNumberFormat="1" applyFont="1" applyFill="1" applyBorder="1" applyAlignment="1" applyProtection="1">
      <alignment vertical="center"/>
      <protection hidden="1"/>
    </xf>
    <xf numFmtId="0" fontId="4" fillId="0" borderId="7" xfId="0" applyNumberFormat="1" applyFont="1" applyFill="1" applyBorder="1" applyAlignment="1" applyProtection="1">
      <alignment vertical="center"/>
      <protection hidden="1"/>
    </xf>
    <xf numFmtId="0" fontId="4" fillId="0" borderId="8" xfId="0" applyFont="1" applyFill="1" applyBorder="1" applyAlignment="1" applyProtection="1">
      <alignment vertical="center" wrapText="1"/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locked="0" hidden="1"/>
    </xf>
    <xf numFmtId="0" fontId="4" fillId="0" borderId="1" xfId="0" applyNumberFormat="1" applyFont="1" applyBorder="1" applyAlignment="1" applyProtection="1">
      <alignment horizontal="center" vertical="center"/>
      <protection hidden="1"/>
    </xf>
    <xf numFmtId="0" fontId="4" fillId="0" borderId="9" xfId="0" applyNumberFormat="1" applyFont="1" applyFill="1" applyBorder="1" applyAlignment="1" applyProtection="1">
      <alignment vertical="center"/>
      <protection hidden="1"/>
    </xf>
    <xf numFmtId="0" fontId="4" fillId="0" borderId="10" xfId="0" applyNumberFormat="1" applyFont="1" applyFill="1" applyBorder="1" applyAlignment="1" applyProtection="1">
      <alignment vertical="center"/>
      <protection hidden="1"/>
    </xf>
    <xf numFmtId="0" fontId="4" fillId="0" borderId="11" xfId="0" applyNumberFormat="1" applyFont="1" applyFill="1" applyBorder="1" applyAlignment="1" applyProtection="1">
      <alignment vertical="center"/>
      <protection hidden="1"/>
    </xf>
    <xf numFmtId="17" fontId="4" fillId="0" borderId="0" xfId="0" applyNumberFormat="1" applyFont="1" applyFill="1" applyAlignment="1" applyProtection="1">
      <alignment vertical="center"/>
      <protection hidden="1"/>
    </xf>
    <xf numFmtId="0" fontId="0" fillId="3" borderId="0" xfId="0" applyFill="1"/>
    <xf numFmtId="0" fontId="7" fillId="4" borderId="0" xfId="0" applyFont="1" applyFill="1"/>
    <xf numFmtId="0" fontId="0" fillId="3" borderId="0" xfId="0" applyFill="1" applyBorder="1"/>
    <xf numFmtId="0" fontId="0" fillId="7" borderId="0" xfId="0" applyFill="1" applyBorder="1" applyAlignment="1">
      <alignment horizontal="center"/>
    </xf>
    <xf numFmtId="0" fontId="0" fillId="3" borderId="15" xfId="0" applyFill="1" applyBorder="1"/>
    <xf numFmtId="0" fontId="0" fillId="3" borderId="16" xfId="0" applyFill="1" applyBorder="1"/>
    <xf numFmtId="0" fontId="0" fillId="3" borderId="10" xfId="0" applyFill="1" applyBorder="1"/>
    <xf numFmtId="0" fontId="0" fillId="6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9" fillId="3" borderId="10" xfId="0" applyFont="1" applyFill="1" applyBorder="1"/>
    <xf numFmtId="0" fontId="0" fillId="9" borderId="17" xfId="0" applyFill="1" applyBorder="1"/>
    <xf numFmtId="0" fontId="0" fillId="0" borderId="0" xfId="0" applyBorder="1"/>
    <xf numFmtId="189" fontId="0" fillId="3" borderId="0" xfId="0" applyNumberFormat="1" applyFill="1" applyBorder="1"/>
    <xf numFmtId="0" fontId="11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0" fillId="0" borderId="7" xfId="0" applyBorder="1"/>
    <xf numFmtId="189" fontId="0" fillId="3" borderId="10" xfId="0" applyNumberFormat="1" applyFill="1" applyBorder="1"/>
    <xf numFmtId="0" fontId="0" fillId="0" borderId="10" xfId="0" applyBorder="1"/>
    <xf numFmtId="0" fontId="0" fillId="0" borderId="11" xfId="0" applyBorder="1"/>
    <xf numFmtId="0" fontId="10" fillId="3" borderId="10" xfId="0" applyFont="1" applyFill="1" applyBorder="1"/>
    <xf numFmtId="0" fontId="9" fillId="0" borderId="10" xfId="0" applyFont="1" applyBorder="1"/>
    <xf numFmtId="0" fontId="8" fillId="0" borderId="10" xfId="0" applyFont="1" applyBorder="1"/>
    <xf numFmtId="0" fontId="0" fillId="3" borderId="13" xfId="0" applyFill="1" applyBorder="1" applyAlignment="1">
      <alignment horizontal="center"/>
    </xf>
    <xf numFmtId="0" fontId="0" fillId="0" borderId="0" xfId="0" applyNumberFormat="1"/>
    <xf numFmtId="0" fontId="0" fillId="10" borderId="0" xfId="0" applyFill="1"/>
    <xf numFmtId="0" fontId="8" fillId="0" borderId="0" xfId="0" applyFont="1" applyAlignment="1">
      <alignment wrapText="1"/>
    </xf>
    <xf numFmtId="0" fontId="0" fillId="0" borderId="0" xfId="0" applyAlignment="1">
      <alignment wrapText="1" shrinkToFit="1"/>
    </xf>
    <xf numFmtId="0" fontId="8" fillId="3" borderId="0" xfId="0" applyFont="1" applyFill="1" applyBorder="1" applyAlignment="1">
      <alignment horizontal="right" vertical="center"/>
    </xf>
    <xf numFmtId="0" fontId="8" fillId="0" borderId="0" xfId="0" applyFont="1"/>
    <xf numFmtId="0" fontId="14" fillId="0" borderId="0" xfId="0" applyFont="1" applyBorder="1"/>
    <xf numFmtId="0" fontId="14" fillId="0" borderId="0" xfId="0" applyFont="1"/>
    <xf numFmtId="0" fontId="24" fillId="0" borderId="20" xfId="0" applyFont="1" applyBorder="1" applyAlignment="1">
      <alignment horizontal="center" vertical="center"/>
    </xf>
    <xf numFmtId="0" fontId="0" fillId="11" borderId="0" xfId="0" applyFill="1" applyBorder="1"/>
    <xf numFmtId="0" fontId="0" fillId="11" borderId="0" xfId="0" applyFill="1"/>
    <xf numFmtId="0" fontId="0" fillId="3" borderId="5" xfId="0" applyFill="1" applyBorder="1"/>
    <xf numFmtId="0" fontId="24" fillId="0" borderId="21" xfId="0" applyFont="1" applyBorder="1" applyAlignment="1">
      <alignment horizontal="center" vertical="center"/>
    </xf>
    <xf numFmtId="0" fontId="23" fillId="11" borderId="17" xfId="0" applyFont="1" applyFill="1" applyBorder="1" applyAlignment="1">
      <alignment horizontal="center"/>
    </xf>
    <xf numFmtId="0" fontId="22" fillId="11" borderId="17" xfId="0" applyFont="1" applyFill="1" applyBorder="1" applyAlignment="1">
      <alignment horizontal="center"/>
    </xf>
    <xf numFmtId="189" fontId="19" fillId="10" borderId="23" xfId="0" applyNumberFormat="1" applyFont="1" applyFill="1" applyBorder="1" applyAlignment="1">
      <alignment horizontal="left" vertical="center"/>
    </xf>
    <xf numFmtId="3" fontId="25" fillId="10" borderId="24" xfId="0" applyNumberFormat="1" applyFont="1" applyFill="1" applyBorder="1" applyAlignment="1">
      <alignment vertical="center"/>
    </xf>
    <xf numFmtId="3" fontId="18" fillId="10" borderId="25" xfId="0" applyNumberFormat="1" applyFont="1" applyFill="1" applyBorder="1" applyAlignment="1">
      <alignment vertical="center"/>
    </xf>
    <xf numFmtId="0" fontId="0" fillId="10" borderId="25" xfId="0" applyNumberFormat="1" applyFill="1" applyBorder="1"/>
    <xf numFmtId="0" fontId="16" fillId="10" borderId="27" xfId="0" applyNumberFormat="1" applyFont="1" applyFill="1" applyBorder="1" applyAlignment="1">
      <alignment horizontal="center" vertical="center"/>
    </xf>
    <xf numFmtId="0" fontId="0" fillId="10" borderId="25" xfId="0" applyFill="1" applyBorder="1"/>
    <xf numFmtId="189" fontId="0" fillId="3" borderId="28" xfId="0" applyNumberFormat="1" applyFill="1" applyBorder="1" applyAlignment="1">
      <alignment horizontal="left" vertical="center"/>
    </xf>
    <xf numFmtId="3" fontId="25" fillId="3" borderId="29" xfId="0" applyNumberFormat="1" applyFont="1" applyFill="1" applyBorder="1" applyAlignment="1">
      <alignment vertical="center"/>
    </xf>
    <xf numFmtId="3" fontId="8" fillId="3" borderId="30" xfId="0" applyNumberFormat="1" applyFont="1" applyFill="1" applyBorder="1" applyAlignment="1">
      <alignment vertical="center"/>
    </xf>
    <xf numFmtId="0" fontId="0" fillId="3" borderId="30" xfId="0" applyFill="1" applyBorder="1"/>
    <xf numFmtId="0" fontId="16" fillId="3" borderId="32" xfId="0" applyFont="1" applyFill="1" applyBorder="1" applyAlignment="1">
      <alignment horizontal="center" vertical="center"/>
    </xf>
    <xf numFmtId="189" fontId="0" fillId="10" borderId="28" xfId="0" applyNumberFormat="1" applyFill="1" applyBorder="1" applyAlignment="1">
      <alignment horizontal="left" vertical="center"/>
    </xf>
    <xf numFmtId="3" fontId="25" fillId="10" borderId="29" xfId="0" applyNumberFormat="1" applyFont="1" applyFill="1" applyBorder="1" applyAlignment="1">
      <alignment vertical="center"/>
    </xf>
    <xf numFmtId="3" fontId="8" fillId="10" borderId="30" xfId="0" applyNumberFormat="1" applyFont="1" applyFill="1" applyBorder="1" applyAlignment="1">
      <alignment vertical="center"/>
    </xf>
    <xf numFmtId="0" fontId="0" fillId="10" borderId="30" xfId="0" applyFill="1" applyBorder="1"/>
    <xf numFmtId="0" fontId="16" fillId="10" borderId="32" xfId="0" applyFont="1" applyFill="1" applyBorder="1" applyAlignment="1">
      <alignment horizontal="center" vertical="center"/>
    </xf>
    <xf numFmtId="189" fontId="0" fillId="10" borderId="33" xfId="0" applyNumberFormat="1" applyFill="1" applyBorder="1" applyAlignment="1">
      <alignment horizontal="left" vertical="center"/>
    </xf>
    <xf numFmtId="3" fontId="25" fillId="10" borderId="33" xfId="0" applyNumberFormat="1" applyFont="1" applyFill="1" applyBorder="1" applyAlignment="1">
      <alignment vertical="center"/>
    </xf>
    <xf numFmtId="3" fontId="8" fillId="10" borderId="34" xfId="0" applyNumberFormat="1" applyFont="1" applyFill="1" applyBorder="1" applyAlignment="1">
      <alignment vertical="center"/>
    </xf>
    <xf numFmtId="0" fontId="0" fillId="10" borderId="34" xfId="0" applyFill="1" applyBorder="1"/>
    <xf numFmtId="0" fontId="16" fillId="10" borderId="35" xfId="0" applyFont="1" applyFill="1" applyBorder="1" applyAlignment="1">
      <alignment horizontal="center" vertical="center"/>
    </xf>
    <xf numFmtId="0" fontId="0" fillId="3" borderId="36" xfId="0" applyFill="1" applyBorder="1"/>
    <xf numFmtId="0" fontId="0" fillId="3" borderId="22" xfId="0" applyFill="1" applyBorder="1"/>
    <xf numFmtId="0" fontId="0" fillId="3" borderId="37" xfId="0" applyFill="1" applyBorder="1"/>
    <xf numFmtId="3" fontId="26" fillId="10" borderId="27" xfId="0" applyNumberFormat="1" applyFont="1" applyFill="1" applyBorder="1" applyAlignment="1">
      <alignment vertical="center"/>
    </xf>
    <xf numFmtId="3" fontId="26" fillId="3" borderId="32" xfId="0" applyNumberFormat="1" applyFont="1" applyFill="1" applyBorder="1" applyAlignment="1">
      <alignment vertical="center"/>
    </xf>
    <xf numFmtId="3" fontId="26" fillId="10" borderId="32" xfId="0" applyNumberFormat="1" applyFont="1" applyFill="1" applyBorder="1" applyAlignment="1">
      <alignment vertical="center"/>
    </xf>
    <xf numFmtId="3" fontId="26" fillId="10" borderId="35" xfId="0" applyNumberFormat="1" applyFont="1" applyFill="1" applyBorder="1" applyAlignment="1">
      <alignment vertical="center"/>
    </xf>
    <xf numFmtId="3" fontId="15" fillId="10" borderId="27" xfId="0" applyNumberFormat="1" applyFont="1" applyFill="1" applyBorder="1" applyAlignment="1">
      <alignment horizontal="left" vertical="center"/>
    </xf>
    <xf numFmtId="3" fontId="15" fillId="3" borderId="32" xfId="0" applyNumberFormat="1" applyFont="1" applyFill="1" applyBorder="1" applyAlignment="1">
      <alignment horizontal="left" vertical="center"/>
    </xf>
    <xf numFmtId="3" fontId="15" fillId="10" borderId="32" xfId="0" applyNumberFormat="1" applyFont="1" applyFill="1" applyBorder="1" applyAlignment="1">
      <alignment horizontal="left" vertical="center"/>
    </xf>
    <xf numFmtId="3" fontId="15" fillId="10" borderId="35" xfId="0" applyNumberFormat="1" applyFont="1" applyFill="1" applyBorder="1" applyAlignment="1">
      <alignment horizontal="left" vertical="center"/>
    </xf>
    <xf numFmtId="3" fontId="21" fillId="10" borderId="23" xfId="0" applyNumberFormat="1" applyFont="1" applyFill="1" applyBorder="1" applyAlignment="1">
      <alignment vertical="center"/>
    </xf>
    <xf numFmtId="3" fontId="21" fillId="3" borderId="28" xfId="0" applyNumberFormat="1" applyFont="1" applyFill="1" applyBorder="1" applyAlignment="1">
      <alignment vertical="center"/>
    </xf>
    <xf numFmtId="3" fontId="21" fillId="10" borderId="28" xfId="0" applyNumberFormat="1" applyFont="1" applyFill="1" applyBorder="1" applyAlignment="1">
      <alignment vertical="center"/>
    </xf>
    <xf numFmtId="3" fontId="21" fillId="10" borderId="39" xfId="0" applyNumberFormat="1" applyFont="1" applyFill="1" applyBorder="1" applyAlignment="1">
      <alignment vertical="center"/>
    </xf>
    <xf numFmtId="0" fontId="13" fillId="12" borderId="8" xfId="0" applyFont="1" applyFill="1" applyBorder="1"/>
    <xf numFmtId="0" fontId="23" fillId="11" borderId="40" xfId="0" applyFont="1" applyFill="1" applyBorder="1" applyAlignment="1">
      <alignment horizontal="center"/>
    </xf>
    <xf numFmtId="3" fontId="21" fillId="10" borderId="26" xfId="0" applyNumberFormat="1" applyFont="1" applyFill="1" applyBorder="1" applyAlignment="1">
      <alignment vertical="center"/>
    </xf>
    <xf numFmtId="3" fontId="21" fillId="3" borderId="31" xfId="0" applyNumberFormat="1" applyFont="1" applyFill="1" applyBorder="1" applyAlignment="1">
      <alignment vertical="center"/>
    </xf>
    <xf numFmtId="3" fontId="21" fillId="10" borderId="31" xfId="0" applyNumberFormat="1" applyFont="1" applyFill="1" applyBorder="1" applyAlignment="1">
      <alignment vertical="center"/>
    </xf>
    <xf numFmtId="3" fontId="21" fillId="10" borderId="38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3" fontId="10" fillId="3" borderId="29" xfId="0" applyNumberFormat="1" applyFont="1" applyFill="1" applyBorder="1" applyAlignment="1">
      <alignment vertical="center"/>
    </xf>
    <xf numFmtId="3" fontId="10" fillId="10" borderId="29" xfId="0" applyNumberFormat="1" applyFont="1" applyFill="1" applyBorder="1" applyAlignment="1">
      <alignment vertical="center"/>
    </xf>
    <xf numFmtId="3" fontId="10" fillId="10" borderId="33" xfId="0" applyNumberFormat="1" applyFont="1" applyFill="1" applyBorder="1" applyAlignment="1">
      <alignment vertical="center"/>
    </xf>
    <xf numFmtId="0" fontId="17" fillId="10" borderId="23" xfId="0" applyFont="1" applyFill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17" fillId="10" borderId="28" xfId="0" applyFont="1" applyFill="1" applyBorder="1" applyAlignment="1">
      <alignment horizontal="center" vertical="center"/>
    </xf>
    <xf numFmtId="0" fontId="17" fillId="10" borderId="39" xfId="0" applyFont="1" applyFill="1" applyBorder="1" applyAlignment="1">
      <alignment horizontal="center" vertical="center"/>
    </xf>
    <xf numFmtId="0" fontId="28" fillId="3" borderId="0" xfId="0" applyNumberFormat="1" applyFont="1" applyFill="1"/>
    <xf numFmtId="0" fontId="20" fillId="11" borderId="18" xfId="0" applyNumberFormat="1" applyFont="1" applyFill="1" applyBorder="1" applyAlignment="1" applyProtection="1">
      <alignment horizontal="center" vertical="center"/>
      <protection hidden="1"/>
    </xf>
    <xf numFmtId="0" fontId="20" fillId="11" borderId="19" xfId="0" applyNumberFormat="1" applyFont="1" applyFill="1" applyBorder="1" applyAlignment="1" applyProtection="1">
      <alignment horizontal="center" vertical="center"/>
      <protection hidden="1"/>
    </xf>
    <xf numFmtId="0" fontId="12" fillId="12" borderId="17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27" fillId="14" borderId="0" xfId="0" applyFont="1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6" fillId="0" borderId="6" xfId="0" applyFont="1" applyBorder="1" applyAlignment="1" applyProtection="1">
      <alignment horizontal="left" vertical="center" indent="2"/>
      <protection hidden="1"/>
    </xf>
  </cellXfs>
  <cellStyles count="45">
    <cellStyle name="Normal" xfId="0" builtinId="0"/>
    <cellStyle name="Normal 2" xfId="44"/>
    <cellStyle name="เครื่องหมายจุลภาค 2" xfId="2"/>
    <cellStyle name="เครื่องหมายจุลภาค 2 2" xfId="3"/>
    <cellStyle name="เครื่องหมายจุลภาค 2 3" xfId="28"/>
    <cellStyle name="เครื่องหมายจุลภาค 2 4" xfId="32"/>
    <cellStyle name="เครื่องหมายจุลภาค 2 5" xfId="39"/>
    <cellStyle name="เครื่องหมายจุลภาค 3" xfId="27"/>
    <cellStyle name="เครื่องหมายจุลภาค 4" xfId="31"/>
    <cellStyle name="เครื่องหมายจุลภาค 5" xfId="38"/>
    <cellStyle name="ปกติ 2" xfId="1"/>
    <cellStyle name="ปกติ 2 2" xfId="4"/>
    <cellStyle name="ปกติ 2 3" xfId="6"/>
    <cellStyle name="ปกติ 2 4" xfId="7"/>
    <cellStyle name="ปกติ 2 5" xfId="8"/>
    <cellStyle name="ปกติ 2 6" xfId="9"/>
    <cellStyle name="ปกติ 2 7" xfId="29"/>
    <cellStyle name="ปกติ 3" xfId="10"/>
    <cellStyle name="ปกติ 3 2" xfId="11"/>
    <cellStyle name="ปกติ 3 3" xfId="33"/>
    <cellStyle name="ปกติ 3 4" xfId="40"/>
    <cellStyle name="ปกติ 4" xfId="12"/>
    <cellStyle name="ปกติ 4 2" xfId="13"/>
    <cellStyle name="ปกติ 4 3" xfId="14"/>
    <cellStyle name="ปกติ 4 4" xfId="15"/>
    <cellStyle name="ปกติ 4 5" xfId="34"/>
    <cellStyle name="ปกติ 4 6" xfId="41"/>
    <cellStyle name="ปกติ 5" xfId="16"/>
    <cellStyle name="ปกติ 5 2" xfId="17"/>
    <cellStyle name="ปกติ 5 3" xfId="18"/>
    <cellStyle name="ปกติ 5 4" xfId="19"/>
    <cellStyle name="ปกติ 6" xfId="5"/>
    <cellStyle name="ปกติ 7" xfId="30"/>
    <cellStyle name="ปกติ 8" xfId="37"/>
    <cellStyle name="เปอร์เซ็นต์ 2" xfId="20"/>
    <cellStyle name="เปอร์เซ็นต์ 2 2" xfId="36"/>
    <cellStyle name="เปอร์เซ็นต์ 2 3" xfId="43"/>
    <cellStyle name="เปอร์เซ็นต์ 3" xfId="42"/>
    <cellStyle name="เปอร์เซ็นต์ 4" xfId="35"/>
    <cellStyle name="ลักษณะ 1" xfId="21"/>
    <cellStyle name="ลักษณะ 1 2" xfId="22"/>
    <cellStyle name="ลักษณะ 1 3" xfId="23"/>
    <cellStyle name="ลักษณะ 1 4" xfId="24"/>
    <cellStyle name="ลักษณะ 1 5" xfId="25"/>
    <cellStyle name="ลักษณะ 1 6" xfId="26"/>
  </cellStyles>
  <dxfs count="3"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</dxfs>
  <tableStyles count="0" defaultTableStyle="TableStyleMedium9" defaultPivotStyle="PivotStyleLight16"/>
  <colors>
    <mruColors>
      <color rgb="FFFF00FF"/>
      <color rgb="FFFF3300"/>
      <color rgb="FF00CC00"/>
      <color rgb="FFFFCC00"/>
      <color rgb="FFFF99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16" fmlaLink="CALS!$D$7" max="8" min="1" page="7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13</xdr:row>
      <xdr:rowOff>66675</xdr:rowOff>
    </xdr:from>
    <xdr:to>
      <xdr:col>6</xdr:col>
      <xdr:colOff>657225</xdr:colOff>
      <xdr:row>20</xdr:row>
      <xdr:rowOff>9525</xdr:rowOff>
    </xdr:to>
    <xdr:sp macro="" textlink="">
      <xdr:nvSpPr>
        <xdr:cNvPr id="2" name="TextBox 1"/>
        <xdr:cNvSpPr txBox="1"/>
      </xdr:nvSpPr>
      <xdr:spPr>
        <a:xfrm>
          <a:off x="933450" y="3343275"/>
          <a:ext cx="173355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=IF(CALS!$T$2&lt;8,1,(CALS!$T$2-6))</a:t>
          </a:r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3</xdr:row>
          <xdr:rowOff>0</xdr:rowOff>
        </xdr:from>
        <xdr:to>
          <xdr:col>15</xdr:col>
          <xdr:colOff>161925</xdr:colOff>
          <xdr:row>9</xdr:row>
          <xdr:rowOff>266700</xdr:rowOff>
        </xdr:to>
        <xdr:sp macro="" textlink="">
          <xdr:nvSpPr>
            <xdr:cNvPr id="1047" name="Scroll Bar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1314450</xdr:colOff>
      <xdr:row>14</xdr:row>
      <xdr:rowOff>47625</xdr:rowOff>
    </xdr:from>
    <xdr:to>
      <xdr:col>14</xdr:col>
      <xdr:colOff>361950</xdr:colOff>
      <xdr:row>29</xdr:row>
      <xdr:rowOff>19050</xdr:rowOff>
    </xdr:to>
    <xdr:sp macro="" textlink="">
      <xdr:nvSpPr>
        <xdr:cNvPr id="3" name="TextBox 2"/>
        <xdr:cNvSpPr txBox="1"/>
      </xdr:nvSpPr>
      <xdr:spPr>
        <a:xfrm>
          <a:off x="3324225" y="3505200"/>
          <a:ext cx="5819775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</a:t>
          </a:r>
          <a:r>
            <a:rPr lang="en-US"/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en-US"/>
            <a:t> Worksheet_Change(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ByVal</a:t>
          </a:r>
          <a:r>
            <a:rPr lang="en-US"/>
            <a:t> Target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en-US"/>
            <a:t> Range)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en-US"/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</a:t>
          </a:r>
          <a:r>
            <a:rPr lang="en-US"/>
            <a:t> Intersect(Target, Range("A1"))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</a:t>
          </a:r>
          <a:r>
            <a:rPr lang="en-US"/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Nothing</a:t>
          </a:r>
          <a:r>
            <a:rPr lang="en-US"/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en-US"/>
            <a:t>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forms scrollbar</a:t>
          </a:r>
          <a:r>
            <a:rPr lang="en-US"/>
            <a:t> </a:t>
          </a:r>
        </a:p>
        <a:p>
          <a:r>
            <a:rPr lang="en-US"/>
            <a:t>ActiveSheet.Shapes("Scroll Bar 2").ControlFormat.Max = Target.Value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ActiveX scrollbar</a:t>
          </a:r>
          <a:r>
            <a:rPr lang="en-US"/>
            <a:t> </a:t>
          </a:r>
        </a:p>
        <a:p>
          <a:r>
            <a:rPr lang="en-US"/>
            <a:t>ActiveSheet.Shapes("ScrollBar1").OLEFormat.Object.Object.Max = Target.Value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en-US"/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en-US"/>
            <a:t>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  <a:r>
            <a:rPr lang="en-US"/>
            <a:t> </a:t>
          </a:r>
          <a:br>
            <a:rPr lang="en-US"/>
          </a:br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609600</xdr:colOff>
      <xdr:row>14</xdr:row>
      <xdr:rowOff>221457</xdr:rowOff>
    </xdr:from>
    <xdr:to>
      <xdr:col>16</xdr:col>
      <xdr:colOff>46038</xdr:colOff>
      <xdr:row>15</xdr:row>
      <xdr:rowOff>122238</xdr:rowOff>
    </xdr:to>
    <xdr:sp macro="[1]!DisplayCalendar" textlink="">
      <xdr:nvSpPr>
        <xdr:cNvPr id="18" name="Rectangle 17"/>
        <xdr:cNvSpPr/>
      </xdr:nvSpPr>
      <xdr:spPr>
        <a:xfrm>
          <a:off x="10248900" y="3505200"/>
          <a:ext cx="127000" cy="12700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-%20SoftZ\samradDatePick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boData"/>
    </sheetNames>
    <definedNames>
      <definedName name="DisplayCalendar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Q13"/>
  <sheetViews>
    <sheetView tabSelected="1" zoomScaleNormal="100" workbookViewId="0">
      <selection activeCell="A4" sqref="A4"/>
    </sheetView>
  </sheetViews>
  <sheetFormatPr defaultRowHeight="14.25" x14ac:dyDescent="0.2"/>
  <cols>
    <col min="1" max="1" width="1.125" style="24" customWidth="1"/>
    <col min="2" max="2" width="3.375" style="24" customWidth="1"/>
    <col min="3" max="3" width="4.25" style="24" customWidth="1"/>
    <col min="4" max="4" width="10" style="24" customWidth="1"/>
    <col min="5" max="5" width="6.875" style="24" customWidth="1"/>
    <col min="6" max="6" width="0.75" style="24" customWidth="1"/>
    <col min="7" max="7" width="34" style="24" customWidth="1"/>
    <col min="8" max="8" width="6.375" style="24" customWidth="1"/>
    <col min="9" max="10" width="7.375" style="24" customWidth="1"/>
    <col min="11" max="13" width="3.625" style="24" customWidth="1"/>
    <col min="14" max="14" width="22.875" style="24" customWidth="1"/>
    <col min="15" max="15" width="9" style="24"/>
    <col min="16" max="16" width="2.75" style="24" customWidth="1"/>
    <col min="17" max="17" width="1.5" style="24" customWidth="1"/>
    <col min="18" max="16384" width="9" style="24"/>
  </cols>
  <sheetData>
    <row r="1" spans="1:17" ht="20.25" customHeight="1" thickBot="1" x14ac:dyDescent="0.25">
      <c r="A1" s="24">
        <f ca="1">IF(CALS!$T$2&lt;8,1,(CALS!$T$2-6))</f>
        <v>18</v>
      </c>
      <c r="B1" s="118">
        <f ca="1">IF(CALS!$T$2&lt;8,1,(CALS!$T$2-6))</f>
        <v>18</v>
      </c>
      <c r="C1" s="119" t="s">
        <v>0</v>
      </c>
      <c r="D1" s="120"/>
      <c r="E1" s="64"/>
    </row>
    <row r="2" spans="1:17" ht="19.5" customHeight="1" thickBot="1" x14ac:dyDescent="0.25">
      <c r="E2" s="125" t="s">
        <v>87</v>
      </c>
      <c r="F2" s="125"/>
      <c r="G2" s="125"/>
      <c r="H2" s="125"/>
      <c r="I2" s="124" t="s">
        <v>86</v>
      </c>
      <c r="J2" s="124"/>
      <c r="K2" s="124"/>
      <c r="L2" s="124"/>
      <c r="M2" s="124"/>
      <c r="N2" s="124"/>
      <c r="O2" s="124"/>
      <c r="P2" s="124"/>
      <c r="Q2" s="124"/>
    </row>
    <row r="3" spans="1:17" ht="15" thickBot="1" x14ac:dyDescent="0.25">
      <c r="E3" s="121" t="s">
        <v>4</v>
      </c>
      <c r="F3" s="121"/>
      <c r="G3" s="121"/>
      <c r="H3" s="104" t="s">
        <v>13</v>
      </c>
      <c r="I3" s="105" t="s">
        <v>81</v>
      </c>
      <c r="J3" s="66" t="s">
        <v>88</v>
      </c>
      <c r="K3" s="67" t="s">
        <v>75</v>
      </c>
      <c r="L3" s="67" t="s">
        <v>76</v>
      </c>
      <c r="M3" s="67" t="s">
        <v>77</v>
      </c>
      <c r="N3" s="122" t="s">
        <v>80</v>
      </c>
      <c r="O3" s="123"/>
      <c r="P3" s="65" t="s">
        <v>26</v>
      </c>
      <c r="Q3" s="4"/>
    </row>
    <row r="4" spans="1:17" ht="23.1" customHeight="1" x14ac:dyDescent="0.2">
      <c r="A4" s="26"/>
      <c r="B4" s="26"/>
      <c r="C4" s="57">
        <f ca="1">OFFSET(CALS!$T$4,CALS!$D$7+0,0)</f>
        <v>1</v>
      </c>
      <c r="D4" s="68">
        <f ca="1">CALS!$G5</f>
        <v>40909</v>
      </c>
      <c r="E4" s="69">
        <f ca="1">CALS!$H5</f>
        <v>159800</v>
      </c>
      <c r="F4" s="70"/>
      <c r="G4" s="71"/>
      <c r="H4" s="110"/>
      <c r="I4" s="106"/>
      <c r="J4" s="100"/>
      <c r="K4" s="96"/>
      <c r="L4" s="72"/>
      <c r="M4" s="114" t="str">
        <f ca="1">CALS!$N16</f>
        <v>z</v>
      </c>
      <c r="N4" s="73"/>
      <c r="O4" s="92"/>
      <c r="P4" s="89"/>
      <c r="Q4" s="4"/>
    </row>
    <row r="5" spans="1:17" ht="23.1" customHeight="1" x14ac:dyDescent="0.2">
      <c r="A5" s="26"/>
      <c r="B5" s="26"/>
      <c r="C5" s="57">
        <f ca="1">OFFSET(CALS!$T$4,CALS!$D$7+1,0)</f>
        <v>2</v>
      </c>
      <c r="D5" s="74">
        <f ca="1">CALS!$G6</f>
        <v>40940</v>
      </c>
      <c r="E5" s="75">
        <f ca="1">CALS!$H6</f>
        <v>276900</v>
      </c>
      <c r="F5" s="76"/>
      <c r="G5" s="77"/>
      <c r="H5" s="111"/>
      <c r="I5" s="107"/>
      <c r="J5" s="101"/>
      <c r="K5" s="97"/>
      <c r="L5" s="78"/>
      <c r="M5" s="115" t="str">
        <f ca="1">CALS!$N17</f>
        <v/>
      </c>
      <c r="N5" s="77"/>
      <c r="O5" s="93"/>
      <c r="P5" s="90"/>
      <c r="Q5" s="4"/>
    </row>
    <row r="6" spans="1:17" ht="23.1" customHeight="1" x14ac:dyDescent="0.2">
      <c r="A6" s="26"/>
      <c r="B6" s="26"/>
      <c r="C6" s="57">
        <f ca="1">OFFSET(CALS!$T$4,CALS!$D$7+2,0)</f>
        <v>3</v>
      </c>
      <c r="D6" s="79">
        <f ca="1">CALS!$G7</f>
        <v>40969</v>
      </c>
      <c r="E6" s="80">
        <f ca="1">CALS!$H7</f>
        <v>501544</v>
      </c>
      <c r="F6" s="81"/>
      <c r="G6" s="82"/>
      <c r="H6" s="112"/>
      <c r="I6" s="108"/>
      <c r="J6" s="102"/>
      <c r="K6" s="98"/>
      <c r="L6" s="83"/>
      <c r="M6" s="116" t="str">
        <f ca="1">CALS!$N18</f>
        <v/>
      </c>
      <c r="N6" s="82"/>
      <c r="O6" s="94"/>
      <c r="P6" s="90"/>
      <c r="Q6" s="4"/>
    </row>
    <row r="7" spans="1:17" ht="23.1" customHeight="1" x14ac:dyDescent="0.2">
      <c r="A7" s="26"/>
      <c r="B7" s="26"/>
      <c r="C7" s="57">
        <f ca="1">OFFSET(CALS!$T$4,CALS!$D$7+3,0)</f>
        <v>4</v>
      </c>
      <c r="D7" s="74">
        <f ca="1">CALS!$G8</f>
        <v>41000</v>
      </c>
      <c r="E7" s="75">
        <f ca="1">CALS!$H8</f>
        <v>602679</v>
      </c>
      <c r="F7" s="76"/>
      <c r="G7" s="77"/>
      <c r="H7" s="111"/>
      <c r="I7" s="107"/>
      <c r="J7" s="101"/>
      <c r="K7" s="97"/>
      <c r="L7" s="78"/>
      <c r="M7" s="115" t="str">
        <f ca="1">CALS!$N19</f>
        <v/>
      </c>
      <c r="N7" s="77"/>
      <c r="O7" s="93"/>
      <c r="P7" s="90"/>
      <c r="Q7" s="4"/>
    </row>
    <row r="8" spans="1:17" ht="23.1" customHeight="1" x14ac:dyDescent="0.2">
      <c r="A8" s="26"/>
      <c r="B8" s="26"/>
      <c r="C8" s="57">
        <f ca="1">OFFSET(CALS!$T$4,CALS!$D$7+4,0)</f>
        <v>5</v>
      </c>
      <c r="D8" s="79">
        <f ca="1">CALS!$G9</f>
        <v>41030</v>
      </c>
      <c r="E8" s="80">
        <f ca="1">CALS!$H9</f>
        <v>376370.03</v>
      </c>
      <c r="F8" s="81"/>
      <c r="G8" s="82"/>
      <c r="H8" s="112"/>
      <c r="I8" s="108"/>
      <c r="J8" s="102"/>
      <c r="K8" s="98"/>
      <c r="L8" s="83"/>
      <c r="M8" s="116" t="str">
        <f ca="1">CALS!$N20</f>
        <v/>
      </c>
      <c r="N8" s="82"/>
      <c r="O8" s="94"/>
      <c r="P8" s="90"/>
      <c r="Q8" s="4"/>
    </row>
    <row r="9" spans="1:17" ht="23.1" customHeight="1" x14ac:dyDescent="0.2">
      <c r="A9" s="26"/>
      <c r="B9" s="26"/>
      <c r="C9" s="57">
        <f ca="1">OFFSET(CALS!$T$4,CALS!$D$7+5,0)</f>
        <v>6</v>
      </c>
      <c r="D9" s="74">
        <f ca="1">CALS!$G10</f>
        <v>41061</v>
      </c>
      <c r="E9" s="75">
        <f ca="1">CALS!$H10</f>
        <v>766080.87</v>
      </c>
      <c r="F9" s="76"/>
      <c r="G9" s="77"/>
      <c r="H9" s="111"/>
      <c r="I9" s="107"/>
      <c r="J9" s="101"/>
      <c r="K9" s="97"/>
      <c r="L9" s="78"/>
      <c r="M9" s="115" t="str">
        <f ca="1">CALS!$N21</f>
        <v/>
      </c>
      <c r="N9" s="77"/>
      <c r="O9" s="93"/>
      <c r="P9" s="90"/>
      <c r="Q9" s="4"/>
    </row>
    <row r="10" spans="1:17" ht="23.1" customHeight="1" thickBot="1" x14ac:dyDescent="0.25">
      <c r="A10" s="26"/>
      <c r="B10" s="26"/>
      <c r="C10" s="57">
        <f ca="1">OFFSET(CALS!$T$4,CALS!$D$7+6,0)</f>
        <v>7</v>
      </c>
      <c r="D10" s="84">
        <f ca="1">CALS!$G11</f>
        <v>41091</v>
      </c>
      <c r="E10" s="85">
        <f ca="1">CALS!$H11</f>
        <v>236789</v>
      </c>
      <c r="F10" s="86"/>
      <c r="G10" s="87"/>
      <c r="H10" s="113"/>
      <c r="I10" s="109"/>
      <c r="J10" s="103"/>
      <c r="K10" s="99"/>
      <c r="L10" s="88"/>
      <c r="M10" s="117" t="str">
        <f ca="1">CALS!$N22</f>
        <v/>
      </c>
      <c r="N10" s="87"/>
      <c r="O10" s="95"/>
      <c r="P10" s="91"/>
      <c r="Q10" s="4"/>
    </row>
    <row r="11" spans="1:17" ht="17.25" customHeight="1" thickBot="1" x14ac:dyDescent="0.25">
      <c r="A11" s="26"/>
      <c r="B11" s="26"/>
      <c r="C11" s="26"/>
      <c r="D11" s="62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1" t="s">
        <v>82</v>
      </c>
      <c r="Q11" s="4"/>
    </row>
    <row r="12" spans="1:17" x14ac:dyDescent="0.2">
      <c r="A12" s="26"/>
      <c r="B12" s="26"/>
      <c r="C12" s="26"/>
      <c r="D12" s="26"/>
    </row>
    <row r="13" spans="1:17" x14ac:dyDescent="0.2">
      <c r="A13" s="26"/>
      <c r="B13" s="26"/>
      <c r="C13" s="26"/>
      <c r="D13" s="26"/>
    </row>
  </sheetData>
  <mergeCells count="5">
    <mergeCell ref="C1:D1"/>
    <mergeCell ref="E3:G3"/>
    <mergeCell ref="N3:O3"/>
    <mergeCell ref="I2:Q2"/>
    <mergeCell ref="E2:H2"/>
  </mergeCells>
  <dataValidations count="1">
    <dataValidation type="list" allowBlank="1" showInputMessage="1" showErrorMessage="1" sqref="C1">
      <formula1>SelectName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Scroll Bar 23">
              <controlPr defaultSize="0" autoPict="0">
                <anchor moveWithCells="1">
                  <from>
                    <xdr:col>15</xdr:col>
                    <xdr:colOff>19050</xdr:colOff>
                    <xdr:row>3</xdr:row>
                    <xdr:rowOff>0</xdr:rowOff>
                  </from>
                  <to>
                    <xdr:col>15</xdr:col>
                    <xdr:colOff>161925</xdr:colOff>
                    <xdr:row>9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L97"/>
  <sheetViews>
    <sheetView zoomScale="80" zoomScaleNormal="80" workbookViewId="0">
      <selection activeCell="T18" sqref="T18"/>
    </sheetView>
  </sheetViews>
  <sheetFormatPr defaultRowHeight="14.25" x14ac:dyDescent="0.2"/>
  <cols>
    <col min="1" max="2" width="1.5" style="7" customWidth="1"/>
    <col min="3" max="3" width="26.875" style="7" customWidth="1"/>
    <col min="4" max="4" width="11.125" style="7" customWidth="1"/>
    <col min="5" max="6" width="1.5" style="7" customWidth="1"/>
    <col min="10" max="10" width="10.625" customWidth="1"/>
    <col min="19" max="19" width="10.625" customWidth="1"/>
    <col min="22" max="22" width="10.5" customWidth="1"/>
    <col min="23" max="23" width="11.75" customWidth="1"/>
    <col min="26" max="26" width="10" customWidth="1"/>
    <col min="30" max="30" width="8.5" customWidth="1"/>
    <col min="36" max="36" width="15.125" customWidth="1"/>
    <col min="37" max="37" width="14.375" customWidth="1"/>
    <col min="38" max="38" width="14.625" customWidth="1"/>
  </cols>
  <sheetData>
    <row r="1" spans="1:38" x14ac:dyDescent="0.2">
      <c r="S1" s="24"/>
      <c r="T1" s="31" t="s">
        <v>28</v>
      </c>
      <c r="U1" s="32" t="s">
        <v>27</v>
      </c>
      <c r="V1" s="32" t="s">
        <v>24</v>
      </c>
      <c r="W1" s="32" t="s">
        <v>25</v>
      </c>
      <c r="X1" s="32" t="s">
        <v>36</v>
      </c>
      <c r="Y1" s="32" t="s">
        <v>26</v>
      </c>
      <c r="Z1" s="52" t="s">
        <v>24</v>
      </c>
      <c r="AA1" s="32" t="s">
        <v>37</v>
      </c>
      <c r="AB1" s="32" t="s">
        <v>40</v>
      </c>
      <c r="AC1" s="32" t="s">
        <v>39</v>
      </c>
      <c r="AD1" s="32" t="s">
        <v>43</v>
      </c>
      <c r="AE1" s="32" t="s">
        <v>47</v>
      </c>
      <c r="AF1" s="32" t="s">
        <v>48</v>
      </c>
      <c r="AG1" s="33" t="s">
        <v>49</v>
      </c>
    </row>
    <row r="2" spans="1:38" x14ac:dyDescent="0.2">
      <c r="C2" s="7" t="str">
        <f>Dashboard!C1</f>
        <v>ศศิธร แสงทอง</v>
      </c>
      <c r="S2" s="24" t="s">
        <v>31</v>
      </c>
      <c r="T2" s="34">
        <f ca="1">COUNTIF(SaleNameRange,CALS!$C$2)</f>
        <v>24</v>
      </c>
      <c r="U2" s="27" t="s">
        <v>29</v>
      </c>
      <c r="V2" s="27">
        <v>6</v>
      </c>
      <c r="W2" s="27">
        <v>6</v>
      </c>
      <c r="X2" s="27">
        <v>6</v>
      </c>
      <c r="Y2" s="27">
        <v>6</v>
      </c>
      <c r="Z2" s="27"/>
      <c r="AA2" s="27">
        <v>6</v>
      </c>
      <c r="AB2" s="27">
        <v>6</v>
      </c>
      <c r="AC2" s="27">
        <v>6</v>
      </c>
      <c r="AD2" s="27">
        <v>6</v>
      </c>
      <c r="AE2" s="27">
        <v>6</v>
      </c>
      <c r="AF2" s="27">
        <v>6</v>
      </c>
      <c r="AG2" s="35">
        <v>6</v>
      </c>
      <c r="AH2" s="27">
        <v>6</v>
      </c>
      <c r="AI2" s="35">
        <v>6</v>
      </c>
      <c r="AJ2" s="27">
        <v>6</v>
      </c>
      <c r="AK2" s="35">
        <v>6</v>
      </c>
      <c r="AL2" s="27">
        <v>6</v>
      </c>
    </row>
    <row r="3" spans="1:38" ht="15" thickBot="1" x14ac:dyDescent="0.25">
      <c r="S3" s="24"/>
      <c r="T3" s="36"/>
      <c r="U3" s="37" t="s">
        <v>30</v>
      </c>
      <c r="V3" s="37">
        <f ca="1">V2+$T$2</f>
        <v>30</v>
      </c>
      <c r="W3" s="37">
        <f ca="1">W2+$T$2</f>
        <v>30</v>
      </c>
      <c r="X3" s="37">
        <f t="shared" ref="X3:AD3" ca="1" si="0">X2+$T$2</f>
        <v>30</v>
      </c>
      <c r="Y3" s="37">
        <f t="shared" ca="1" si="0"/>
        <v>30</v>
      </c>
      <c r="Z3" s="37"/>
      <c r="AA3" s="37">
        <f t="shared" ca="1" si="0"/>
        <v>30</v>
      </c>
      <c r="AB3" s="37">
        <f t="shared" ca="1" si="0"/>
        <v>30</v>
      </c>
      <c r="AC3" s="37">
        <f t="shared" ca="1" si="0"/>
        <v>30</v>
      </c>
      <c r="AD3" s="37">
        <f t="shared" ca="1" si="0"/>
        <v>30</v>
      </c>
      <c r="AE3" s="37">
        <f t="shared" ref="AE3:AG3" ca="1" si="1">AE2+$T$2</f>
        <v>30</v>
      </c>
      <c r="AF3" s="37">
        <f t="shared" ca="1" si="1"/>
        <v>30</v>
      </c>
      <c r="AG3" s="38">
        <f t="shared" ca="1" si="1"/>
        <v>30</v>
      </c>
      <c r="AH3" s="37">
        <f t="shared" ref="AH3:AL3" ca="1" si="2">AH2+$T$2</f>
        <v>30</v>
      </c>
      <c r="AI3" s="38">
        <f t="shared" ca="1" si="2"/>
        <v>30</v>
      </c>
      <c r="AJ3" s="37">
        <f t="shared" ca="1" si="2"/>
        <v>30</v>
      </c>
      <c r="AK3" s="38">
        <f t="shared" ca="1" si="2"/>
        <v>30</v>
      </c>
      <c r="AL3" s="37">
        <f t="shared" ca="1" si="2"/>
        <v>30</v>
      </c>
    </row>
    <row r="4" spans="1:38" ht="33.75" customHeight="1" x14ac:dyDescent="0.2">
      <c r="A4" s="8"/>
      <c r="B4" s="9"/>
      <c r="C4" s="10"/>
      <c r="D4" s="10"/>
      <c r="E4" s="11"/>
      <c r="F4" s="8"/>
      <c r="G4" t="s">
        <v>1</v>
      </c>
      <c r="H4" t="s">
        <v>4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72</v>
      </c>
      <c r="P4" t="s">
        <v>73</v>
      </c>
      <c r="Q4" t="s">
        <v>74</v>
      </c>
      <c r="S4" s="24"/>
      <c r="T4" s="29" t="s">
        <v>34</v>
      </c>
      <c r="U4" s="49" t="s">
        <v>35</v>
      </c>
      <c r="V4" s="30" t="s">
        <v>1</v>
      </c>
      <c r="W4" s="39" t="s">
        <v>4</v>
      </c>
      <c r="X4" s="39" t="s">
        <v>6</v>
      </c>
      <c r="Y4" s="30" t="s">
        <v>15</v>
      </c>
      <c r="Z4" s="30" t="s">
        <v>13</v>
      </c>
      <c r="AA4" s="49" t="s">
        <v>7</v>
      </c>
      <c r="AB4" s="50" t="s">
        <v>38</v>
      </c>
      <c r="AC4" s="47" t="s">
        <v>41</v>
      </c>
      <c r="AD4" s="51" t="s">
        <v>42</v>
      </c>
      <c r="AE4" s="47" t="s">
        <v>44</v>
      </c>
      <c r="AF4" s="48" t="s">
        <v>45</v>
      </c>
      <c r="AG4" t="s">
        <v>46</v>
      </c>
      <c r="AH4" s="55" t="s">
        <v>59</v>
      </c>
      <c r="AI4" s="55" t="s">
        <v>60</v>
      </c>
      <c r="AJ4" s="56" t="s">
        <v>61</v>
      </c>
      <c r="AK4" s="56" t="s">
        <v>62</v>
      </c>
      <c r="AL4" s="56" t="s">
        <v>63</v>
      </c>
    </row>
    <row r="5" spans="1:38" ht="18.75" thickBot="1" x14ac:dyDescent="0.3">
      <c r="A5" s="8"/>
      <c r="B5" s="12"/>
      <c r="C5" s="126" t="s">
        <v>20</v>
      </c>
      <c r="D5" s="126"/>
      <c r="E5" s="13"/>
      <c r="F5" s="8"/>
      <c r="G5" s="42">
        <f ca="1">OFFSET(_Month,Dashboard!$C4-1,0,1,1)</f>
        <v>40909</v>
      </c>
      <c r="H5" s="54">
        <f ca="1">OFFSET(_AFYP,Dashboard!$C4-1,0,1,1)</f>
        <v>159800</v>
      </c>
      <c r="I5" t="e">
        <f ca="1">OFFSET(_red,Dashboard!$C4-1,0,1,1)</f>
        <v>#N/A</v>
      </c>
      <c r="J5">
        <f ca="1">OFFSET(_yellow,Dashboard!$C4-1,0,1,1)</f>
        <v>159800</v>
      </c>
      <c r="K5" t="e">
        <f ca="1">OFFSET(_green,Dashboard!$C4-1,0,1,1)</f>
        <v>#N/A</v>
      </c>
      <c r="L5">
        <f ca="1">OFFSET(_minimum,Dashboard!$C4-1,0,1,1)</f>
        <v>150000</v>
      </c>
      <c r="M5">
        <f ca="1">OFFSET(_standard,Dashboard!$C4-1,0,1,1)</f>
        <v>200000</v>
      </c>
      <c r="N5">
        <f ca="1">OFFSET(_Top,Dashboard!$C4-1,0,1,1)</f>
        <v>789443</v>
      </c>
      <c r="O5">
        <v>1</v>
      </c>
      <c r="P5">
        <f ca="1">MIN(_AFYP)</f>
        <v>25662</v>
      </c>
      <c r="Q5">
        <f ca="1">MAX(_Top)</f>
        <v>799988</v>
      </c>
      <c r="S5" s="24"/>
      <c r="T5" s="28">
        <f ca="1">IF(ROWS($S$5:S5)&lt;=$T$2,ROWS($S$5:S5),"")</f>
        <v>1</v>
      </c>
      <c r="U5" s="26">
        <f t="array" aca="1" ref="U5" ca="1">MATCH(SMALL(IF(SaleNameRange=CALS!$C$2,MonthRange2),CALS!$T5),IF(SaleNameRange=CALS!$C$2,MonthRange2),0)+5</f>
        <v>6</v>
      </c>
      <c r="V5" s="42">
        <f ca="1">INDIRECT("'AllSale'!$"&amp;V$1&amp;"$"&amp;$U5)</f>
        <v>40909</v>
      </c>
      <c r="W5" s="26">
        <f ca="1">INDIRECT("'AllSale'!$"&amp;W$1&amp;"$"&amp;$U5)</f>
        <v>159800</v>
      </c>
      <c r="X5" s="26">
        <f ca="1">INDIRECT("'AllSale'!$"&amp;X$1&amp;"$"&amp;$U5)</f>
        <v>45641.61</v>
      </c>
      <c r="Y5" s="26">
        <f ca="1">INDIRECT("'AllSale'!$"&amp;Y$1&amp;"$"&amp;$U5)</f>
        <v>150000</v>
      </c>
      <c r="Z5" s="26">
        <f t="shared" ref="Z5:Z36" ca="1" si="3">INDIRECT("'TopSale'!$"&amp;$Z$1&amp;MATCH($V5,TopSaleRange,0)+4)</f>
        <v>789443</v>
      </c>
      <c r="AA5" s="26">
        <f ca="1">INDIRECT("'AllSale'!$"&amp;AA$1&amp;"$"&amp;$U5)</f>
        <v>6200</v>
      </c>
      <c r="AB5" s="41">
        <f t="shared" ref="AB5:AC20" ca="1" si="4">INDIRECT("'AllSale'!$"&amp;AB$1&amp;"$"&amp;$U5)</f>
        <v>70883.520000000004</v>
      </c>
      <c r="AC5" s="41">
        <f t="shared" ca="1" si="4"/>
        <v>92606.61</v>
      </c>
      <c r="AD5" s="59" t="str">
        <f ca="1">IF(INDIRECT("'AllSale'!$"&amp;AD$1&amp;"$"&amp;$U5)&gt;0,"µ","")</f>
        <v/>
      </c>
      <c r="AE5" s="43" t="str">
        <f ca="1">IF(INDIRECT("'AllSale'!$"&amp;AE$1&amp;"$"&amp;$U5)&gt;0,"v","")</f>
        <v/>
      </c>
      <c r="AF5" s="44" t="str">
        <f ca="1">IF(INDIRECT("'AllSale'!$"&amp;AF$1&amp;"$"&amp;$U5)&gt;0,"z","")</f>
        <v>z</v>
      </c>
      <c r="AG5">
        <f ca="1">INDIRECT("'AllSale'!$"&amp;AG$1&amp;"$"&amp;$U5)</f>
        <v>235</v>
      </c>
      <c r="AH5">
        <v>150000</v>
      </c>
      <c r="AI5">
        <v>200000</v>
      </c>
      <c r="AJ5" t="e">
        <f ca="1">IF(W5&lt;AH5,W5,NA())</f>
        <v>#N/A</v>
      </c>
      <c r="AK5">
        <f ca="1">IF(AND(W5&gt;=AH5,W5&lt;AI5),W5,NA())</f>
        <v>159800</v>
      </c>
      <c r="AL5" t="e">
        <f ca="1">IF(W5&gt;=AI5,W5,NA())</f>
        <v>#N/A</v>
      </c>
    </row>
    <row r="6" spans="1:38" ht="18" x14ac:dyDescent="0.25">
      <c r="B6" s="14"/>
      <c r="C6" s="15"/>
      <c r="D6" s="15"/>
      <c r="E6" s="16"/>
      <c r="G6" s="42">
        <f ca="1">OFFSET(_Month,Dashboard!$C5-1,0,1,1)</f>
        <v>40940</v>
      </c>
      <c r="H6" s="54">
        <f ca="1">OFFSET(_AFYP,Dashboard!$C5-1,0,1,1)</f>
        <v>276900</v>
      </c>
      <c r="I6" t="e">
        <f ca="1">OFFSET(_red,Dashboard!$C5-1,0,1,1)</f>
        <v>#N/A</v>
      </c>
      <c r="J6" t="e">
        <f ca="1">OFFSET(_yellow,Dashboard!$C5-1,0,1,1)</f>
        <v>#N/A</v>
      </c>
      <c r="K6">
        <f ca="1">OFFSET(_green,Dashboard!$C5-1,0,1,1)</f>
        <v>276900</v>
      </c>
      <c r="L6">
        <f ca="1">OFFSET(_minimum,Dashboard!$C5-1,0,1,1)</f>
        <v>150000</v>
      </c>
      <c r="M6">
        <f ca="1">OFFSET(_standard,Dashboard!$C5-1,0,1,1)</f>
        <v>200000</v>
      </c>
      <c r="N6">
        <f ca="1">OFFSET(_Top,Dashboard!$C5-1,0,1,1)</f>
        <v>690667</v>
      </c>
      <c r="O6">
        <v>2</v>
      </c>
      <c r="P6">
        <f ca="1">P5</f>
        <v>25662</v>
      </c>
      <c r="Q6">
        <f ca="1">Q5</f>
        <v>799988</v>
      </c>
      <c r="S6" s="24"/>
      <c r="T6" s="28">
        <f ca="1">IF(ROWS($S$5:S6)&lt;=$T$2,ROWS($S$5:S6),"")</f>
        <v>2</v>
      </c>
      <c r="U6" s="26">
        <f t="array" aca="1" ref="U6" ca="1">MATCH(SMALL(IF(SaleNameRange=CALS!$C$2,MonthRange2),CALS!$T6),IF(SaleNameRange=CALS!$C$2,MonthRange2),0)+5</f>
        <v>7</v>
      </c>
      <c r="V6" s="42">
        <f t="shared" ref="V6:Y54" ca="1" si="5">INDIRECT("'AllSale'!$"&amp;V$1&amp;"$"&amp;$U6)</f>
        <v>40940</v>
      </c>
      <c r="W6" s="26">
        <f t="shared" ca="1" si="5"/>
        <v>276900</v>
      </c>
      <c r="X6" s="26">
        <f t="shared" ca="1" si="5"/>
        <v>57391.71</v>
      </c>
      <c r="Y6" s="26">
        <f t="shared" ca="1" si="5"/>
        <v>150000</v>
      </c>
      <c r="Z6" s="26">
        <f t="shared" ca="1" si="3"/>
        <v>690667</v>
      </c>
      <c r="AA6" s="26">
        <f t="shared" ref="AA6:AC54" ca="1" si="6">INDIRECT("'AllSale'!$"&amp;AA$1&amp;"$"&amp;$U6)</f>
        <v>8300</v>
      </c>
      <c r="AB6" s="41">
        <f t="shared" ca="1" si="4"/>
        <v>64941.61</v>
      </c>
      <c r="AC6" s="41">
        <f t="shared" ca="1" si="4"/>
        <v>76691.709999999992</v>
      </c>
      <c r="AD6" s="59" t="str">
        <f t="shared" ref="AD6:AD54" ca="1" si="7">IF(INDIRECT("'AllSale'!$"&amp;AD$1&amp;"$"&amp;$U6)&gt;0,"µ","")</f>
        <v/>
      </c>
      <c r="AE6" s="43" t="str">
        <f t="shared" ref="AE6:AE54" ca="1" si="8">IF(INDIRECT("'AllSale'!$"&amp;AE$1&amp;"$"&amp;$U6)&gt;0,"v","")</f>
        <v/>
      </c>
      <c r="AF6" s="44" t="str">
        <f t="shared" ref="AF6:AF54" ca="1" si="9">IF(INDIRECT("'AllSale'!$"&amp;AF$1&amp;"$"&amp;$U6)&gt;0,"z","")</f>
        <v/>
      </c>
      <c r="AG6">
        <f t="shared" ref="AG6:AG54" ca="1" si="10">INDIRECT("'AllSale'!$"&amp;AG$1&amp;"$"&amp;$U6)</f>
        <v>0</v>
      </c>
      <c r="AH6">
        <v>150000</v>
      </c>
      <c r="AI6">
        <v>200000</v>
      </c>
      <c r="AJ6" t="e">
        <f t="shared" ref="AJ6:AJ54" ca="1" si="11">IF(W6&lt;AH6,W6,NA())</f>
        <v>#N/A</v>
      </c>
      <c r="AK6" t="e">
        <f t="shared" ref="AK6:AK54" ca="1" si="12">IF(AND(W6&gt;=AH6,W6&lt;AI6),W6,NA())</f>
        <v>#N/A</v>
      </c>
      <c r="AL6">
        <f t="shared" ref="AL6:AL54" ca="1" si="13">IF(W6&gt;=AI6,W6,NA())</f>
        <v>276900</v>
      </c>
    </row>
    <row r="7" spans="1:38" ht="18" x14ac:dyDescent="0.25">
      <c r="B7" s="14"/>
      <c r="C7" s="17" t="s">
        <v>21</v>
      </c>
      <c r="D7" s="18">
        <v>1</v>
      </c>
      <c r="E7" s="16"/>
      <c r="G7" s="42">
        <f ca="1">OFFSET(_Month,Dashboard!$C6-1,0,1,1)</f>
        <v>40969</v>
      </c>
      <c r="H7" s="54">
        <f ca="1">OFFSET(_AFYP,Dashboard!$C6-1,0,1,1)</f>
        <v>501544</v>
      </c>
      <c r="I7" t="e">
        <f ca="1">OFFSET(_red,Dashboard!$C6-1,0,1,1)</f>
        <v>#N/A</v>
      </c>
      <c r="J7" t="e">
        <f ca="1">OFFSET(_yellow,Dashboard!$C6-1,0,1,1)</f>
        <v>#N/A</v>
      </c>
      <c r="K7">
        <f ca="1">OFFSET(_green,Dashboard!$C6-1,0,1,1)</f>
        <v>501544</v>
      </c>
      <c r="L7">
        <f ca="1">OFFSET(_minimum,Dashboard!$C6-1,0,1,1)</f>
        <v>150000</v>
      </c>
      <c r="M7">
        <f ca="1">OFFSET(_standard,Dashboard!$C6-1,0,1,1)</f>
        <v>200000</v>
      </c>
      <c r="N7">
        <f ca="1">OFFSET(_Top,Dashboard!$C6-1,0,1,1)</f>
        <v>688012</v>
      </c>
      <c r="O7">
        <v>3</v>
      </c>
      <c r="P7">
        <f t="shared" ref="P7:P11" ca="1" si="14">P6</f>
        <v>25662</v>
      </c>
      <c r="Q7">
        <f t="shared" ref="Q7:Q11" ca="1" si="15">Q6</f>
        <v>799988</v>
      </c>
      <c r="S7" s="24"/>
      <c r="T7" s="28">
        <f ca="1">IF(ROWS($S$5:S7)&lt;=$T$2,ROWS($S$5:S7),"")</f>
        <v>3</v>
      </c>
      <c r="U7" s="26">
        <f t="array" aca="1" ref="U7" ca="1">MATCH(SMALL(IF(SaleNameRange=CALS!$C$2,MonthRange2),CALS!$T7),IF(SaleNameRange=CALS!$C$2,MonthRange2),0)+5</f>
        <v>8</v>
      </c>
      <c r="V7" s="42">
        <f t="shared" ca="1" si="5"/>
        <v>40969</v>
      </c>
      <c r="W7" s="26">
        <f t="shared" ca="1" si="5"/>
        <v>501544</v>
      </c>
      <c r="X7" s="26">
        <f t="shared" ca="1" si="5"/>
        <v>66859.200000000012</v>
      </c>
      <c r="Y7" s="26">
        <f t="shared" ca="1" si="5"/>
        <v>150000</v>
      </c>
      <c r="Z7" s="26">
        <f t="shared" ca="1" si="3"/>
        <v>688012</v>
      </c>
      <c r="AA7" s="26">
        <f t="shared" ca="1" si="6"/>
        <v>10200</v>
      </c>
      <c r="AB7" s="41">
        <f t="shared" ca="1" si="4"/>
        <v>84591.709999999992</v>
      </c>
      <c r="AC7" s="41">
        <f t="shared" ca="1" si="4"/>
        <v>94059.200000000012</v>
      </c>
      <c r="AD7" s="59" t="str">
        <f t="shared" ca="1" si="7"/>
        <v>µ</v>
      </c>
      <c r="AE7" s="43" t="str">
        <f t="shared" ca="1" si="8"/>
        <v>v</v>
      </c>
      <c r="AF7" s="44" t="str">
        <f t="shared" ca="1" si="9"/>
        <v/>
      </c>
      <c r="AG7">
        <f t="shared" ca="1" si="10"/>
        <v>0</v>
      </c>
      <c r="AH7">
        <v>150000</v>
      </c>
      <c r="AI7">
        <v>200000</v>
      </c>
      <c r="AJ7" t="e">
        <f t="shared" ca="1" si="11"/>
        <v>#N/A</v>
      </c>
      <c r="AK7" t="e">
        <f t="shared" ca="1" si="12"/>
        <v>#N/A</v>
      </c>
      <c r="AL7">
        <f t="shared" ca="1" si="13"/>
        <v>501544</v>
      </c>
    </row>
    <row r="8" spans="1:38" ht="18" x14ac:dyDescent="0.25">
      <c r="B8" s="14"/>
      <c r="C8" s="17" t="s">
        <v>22</v>
      </c>
      <c r="D8" s="19"/>
      <c r="E8" s="16"/>
      <c r="G8" s="42">
        <f ca="1">OFFSET(_Month,Dashboard!$C7-1,0,1,1)</f>
        <v>41000</v>
      </c>
      <c r="H8" s="54">
        <f ca="1">OFFSET(_AFYP,Dashboard!$C7-1,0,1,1)</f>
        <v>602679</v>
      </c>
      <c r="I8" t="e">
        <f ca="1">OFFSET(_red,Dashboard!$C7-1,0,1,1)</f>
        <v>#N/A</v>
      </c>
      <c r="J8" t="e">
        <f ca="1">OFFSET(_yellow,Dashboard!$C7-1,0,1,1)</f>
        <v>#N/A</v>
      </c>
      <c r="K8">
        <f ca="1">OFFSET(_green,Dashboard!$C7-1,0,1,1)</f>
        <v>602679</v>
      </c>
      <c r="L8">
        <f ca="1">OFFSET(_minimum,Dashboard!$C7-1,0,1,1)</f>
        <v>150000</v>
      </c>
      <c r="M8">
        <f ca="1">OFFSET(_standard,Dashboard!$C7-1,0,1,1)</f>
        <v>200000</v>
      </c>
      <c r="N8">
        <f ca="1">OFFSET(_Top,Dashboard!$C7-1,0,1,1)</f>
        <v>602679</v>
      </c>
      <c r="O8">
        <v>4</v>
      </c>
      <c r="P8">
        <f t="shared" ca="1" si="14"/>
        <v>25662</v>
      </c>
      <c r="Q8">
        <f t="shared" ca="1" si="15"/>
        <v>799988</v>
      </c>
      <c r="S8" s="24"/>
      <c r="T8" s="28">
        <f ca="1">IF(ROWS($S$5:S8)&lt;=$T$2,ROWS($S$5:S8),"")</f>
        <v>4</v>
      </c>
      <c r="U8" s="26">
        <f t="array" aca="1" ref="U8" ca="1">MATCH(SMALL(IF(SaleNameRange=CALS!$C$2,MonthRange2),CALS!$T8),IF(SaleNameRange=CALS!$C$2,MonthRange2),0)+5</f>
        <v>13</v>
      </c>
      <c r="V8" s="42">
        <f t="shared" ca="1" si="5"/>
        <v>41000</v>
      </c>
      <c r="W8" s="26">
        <f t="shared" ca="1" si="5"/>
        <v>602679</v>
      </c>
      <c r="X8" s="26">
        <f t="shared" ca="1" si="5"/>
        <v>84853.560000000012</v>
      </c>
      <c r="Y8" s="26">
        <f t="shared" ca="1" si="5"/>
        <v>200000</v>
      </c>
      <c r="Z8" s="26">
        <f t="shared" ca="1" si="3"/>
        <v>602679</v>
      </c>
      <c r="AA8" s="26">
        <f t="shared" ca="1" si="6"/>
        <v>6027</v>
      </c>
      <c r="AB8" s="41">
        <f t="shared" ca="1" si="4"/>
        <v>83886.200000000012</v>
      </c>
      <c r="AC8" s="41">
        <f t="shared" ca="1" si="4"/>
        <v>101880.56000000001</v>
      </c>
      <c r="AD8" s="59" t="str">
        <f t="shared" ca="1" si="7"/>
        <v/>
      </c>
      <c r="AE8" s="43" t="str">
        <f t="shared" ca="1" si="8"/>
        <v/>
      </c>
      <c r="AF8" s="44" t="str">
        <f t="shared" ca="1" si="9"/>
        <v/>
      </c>
      <c r="AG8">
        <f t="shared" ca="1" si="10"/>
        <v>0</v>
      </c>
      <c r="AH8">
        <v>150000</v>
      </c>
      <c r="AI8">
        <v>200000</v>
      </c>
      <c r="AJ8" t="e">
        <f t="shared" ca="1" si="11"/>
        <v>#N/A</v>
      </c>
      <c r="AK8" t="e">
        <f t="shared" ca="1" si="12"/>
        <v>#N/A</v>
      </c>
      <c r="AL8">
        <f t="shared" ca="1" si="13"/>
        <v>602679</v>
      </c>
    </row>
    <row r="9" spans="1:38" ht="18" x14ac:dyDescent="0.25">
      <c r="B9" s="14"/>
      <c r="C9" s="17" t="s">
        <v>23</v>
      </c>
      <c r="D9" s="19"/>
      <c r="E9" s="16"/>
      <c r="G9" s="42">
        <f ca="1">OFFSET(_Month,Dashboard!$C8-1,0,1,1)</f>
        <v>41030</v>
      </c>
      <c r="H9" s="54">
        <f ca="1">OFFSET(_AFYP,Dashboard!$C8-1,0,1,1)</f>
        <v>376370.03</v>
      </c>
      <c r="I9" t="e">
        <f ca="1">OFFSET(_red,Dashboard!$C8-1,0,1,1)</f>
        <v>#N/A</v>
      </c>
      <c r="J9" t="e">
        <f ca="1">OFFSET(_yellow,Dashboard!$C8-1,0,1,1)</f>
        <v>#N/A</v>
      </c>
      <c r="K9">
        <f ca="1">OFFSET(_green,Dashboard!$C8-1,0,1,1)</f>
        <v>376370.03</v>
      </c>
      <c r="L9">
        <f ca="1">OFFSET(_minimum,Dashboard!$C8-1,0,1,1)</f>
        <v>150000</v>
      </c>
      <c r="M9">
        <f ca="1">OFFSET(_standard,Dashboard!$C8-1,0,1,1)</f>
        <v>200000</v>
      </c>
      <c r="N9">
        <f ca="1">OFFSET(_Top,Dashboard!$C8-1,0,1,1)</f>
        <v>570999</v>
      </c>
      <c r="O9">
        <v>5</v>
      </c>
      <c r="P9">
        <f t="shared" ca="1" si="14"/>
        <v>25662</v>
      </c>
      <c r="Q9">
        <f t="shared" ca="1" si="15"/>
        <v>799988</v>
      </c>
      <c r="S9" s="24"/>
      <c r="T9" s="28">
        <f ca="1">IF(ROWS($S$5:S9)&lt;=$T$2,ROWS($S$5:S9),"")</f>
        <v>5</v>
      </c>
      <c r="U9" s="26">
        <f t="array" aca="1" ref="U9" ca="1">MATCH(SMALL(IF(SaleNameRange=CALS!$C$2,MonthRange2),CALS!$T9),IF(SaleNameRange=CALS!$C$2,MonthRange2),0)+5</f>
        <v>14</v>
      </c>
      <c r="V9" s="42">
        <f t="shared" ca="1" si="5"/>
        <v>41030</v>
      </c>
      <c r="W9" s="26">
        <f t="shared" ca="1" si="5"/>
        <v>376370.03</v>
      </c>
      <c r="X9" s="26">
        <f t="shared" ca="1" si="5"/>
        <v>56455.5</v>
      </c>
      <c r="Y9" s="26">
        <f t="shared" ca="1" si="5"/>
        <v>200000</v>
      </c>
      <c r="Z9" s="26">
        <f t="shared" ca="1" si="3"/>
        <v>570999</v>
      </c>
      <c r="AA9" s="26">
        <f t="shared" ca="1" si="6"/>
        <v>3764</v>
      </c>
      <c r="AB9" s="41">
        <f t="shared" ca="1" si="4"/>
        <v>99617.560000000012</v>
      </c>
      <c r="AC9" s="41">
        <f t="shared" ca="1" si="4"/>
        <v>71219.5</v>
      </c>
      <c r="AD9" s="59" t="str">
        <f t="shared" ca="1" si="7"/>
        <v/>
      </c>
      <c r="AE9" s="43" t="str">
        <f t="shared" ca="1" si="8"/>
        <v/>
      </c>
      <c r="AF9" s="44" t="str">
        <f t="shared" ca="1" si="9"/>
        <v/>
      </c>
      <c r="AG9">
        <f t="shared" ca="1" si="10"/>
        <v>0</v>
      </c>
      <c r="AH9">
        <v>150000</v>
      </c>
      <c r="AI9">
        <v>200000</v>
      </c>
      <c r="AJ9" t="e">
        <f t="shared" ca="1" si="11"/>
        <v>#N/A</v>
      </c>
      <c r="AK9" t="e">
        <f t="shared" ca="1" si="12"/>
        <v>#N/A</v>
      </c>
      <c r="AL9">
        <f t="shared" ca="1" si="13"/>
        <v>376370.03</v>
      </c>
    </row>
    <row r="10" spans="1:38" ht="18" x14ac:dyDescent="0.25">
      <c r="B10" s="20"/>
      <c r="C10" s="21"/>
      <c r="D10" s="21"/>
      <c r="E10" s="22"/>
      <c r="G10" s="42">
        <f ca="1">OFFSET(_Month,Dashboard!$C9-1,0,1,1)</f>
        <v>41061</v>
      </c>
      <c r="H10" s="54">
        <f ca="1">OFFSET(_AFYP,Dashboard!$C9-1,0,1,1)</f>
        <v>766080.87</v>
      </c>
      <c r="I10" t="e">
        <f ca="1">OFFSET(_red,Dashboard!$C9-1,0,1,1)</f>
        <v>#N/A</v>
      </c>
      <c r="J10" t="e">
        <f ca="1">OFFSET(_yellow,Dashboard!$C9-1,0,1,1)</f>
        <v>#N/A</v>
      </c>
      <c r="K10">
        <f ca="1">OFFSET(_green,Dashboard!$C9-1,0,1,1)</f>
        <v>766080.87</v>
      </c>
      <c r="L10">
        <f ca="1">OFFSET(_minimum,Dashboard!$C9-1,0,1,1)</f>
        <v>150000</v>
      </c>
      <c r="M10">
        <f ca="1">OFFSET(_standard,Dashboard!$C9-1,0,1,1)</f>
        <v>200000</v>
      </c>
      <c r="N10">
        <f ca="1">OFFSET(_Top,Dashboard!$C9-1,0,1,1)</f>
        <v>766080.87</v>
      </c>
      <c r="O10">
        <v>6</v>
      </c>
      <c r="P10">
        <f t="shared" ca="1" si="14"/>
        <v>25662</v>
      </c>
      <c r="Q10">
        <f t="shared" ca="1" si="15"/>
        <v>799988</v>
      </c>
      <c r="S10" s="24"/>
      <c r="T10" s="28">
        <f ca="1">IF(ROWS($S$5:S10)&lt;=$T$2,ROWS($S$5:S10),"")</f>
        <v>6</v>
      </c>
      <c r="U10" s="26">
        <f t="array" aca="1" ref="U10" ca="1">MATCH(SMALL(IF(SaleNameRange=CALS!$C$2,MonthRange2),CALS!$T10),IF(SaleNameRange=CALS!$C$2,MonthRange2),0)+5</f>
        <v>15</v>
      </c>
      <c r="V10" s="42">
        <f t="shared" ca="1" si="5"/>
        <v>41061</v>
      </c>
      <c r="W10" s="26">
        <f t="shared" ca="1" si="5"/>
        <v>766080.87</v>
      </c>
      <c r="X10" s="26">
        <f t="shared" ca="1" si="5"/>
        <v>112544.46</v>
      </c>
      <c r="Y10" s="26">
        <f t="shared" ca="1" si="5"/>
        <v>125000</v>
      </c>
      <c r="Z10" s="26">
        <f t="shared" ca="1" si="3"/>
        <v>766080.87</v>
      </c>
      <c r="AA10" s="26">
        <f t="shared" ca="1" si="6"/>
        <v>7661</v>
      </c>
      <c r="AB10" s="41">
        <f t="shared" ca="1" si="4"/>
        <v>78616.5</v>
      </c>
      <c r="AC10" s="41">
        <f t="shared" ca="1" si="4"/>
        <v>134705.46000000002</v>
      </c>
      <c r="AD10" s="59" t="str">
        <f t="shared" ca="1" si="7"/>
        <v/>
      </c>
      <c r="AE10" s="43" t="str">
        <f t="shared" ca="1" si="8"/>
        <v>v</v>
      </c>
      <c r="AF10" s="44" t="str">
        <f t="shared" ca="1" si="9"/>
        <v/>
      </c>
      <c r="AG10">
        <f t="shared" ca="1" si="10"/>
        <v>0</v>
      </c>
      <c r="AH10">
        <v>150000</v>
      </c>
      <c r="AI10">
        <v>200000</v>
      </c>
      <c r="AJ10" t="e">
        <f t="shared" ca="1" si="11"/>
        <v>#N/A</v>
      </c>
      <c r="AK10" t="e">
        <f t="shared" ca="1" si="12"/>
        <v>#N/A</v>
      </c>
      <c r="AL10">
        <f t="shared" ca="1" si="13"/>
        <v>766080.87</v>
      </c>
    </row>
    <row r="11" spans="1:38" ht="18" x14ac:dyDescent="0.25">
      <c r="G11" s="42">
        <f ca="1">OFFSET(_Month,Dashboard!$C10-1,0,1,1)</f>
        <v>41091</v>
      </c>
      <c r="H11" s="54">
        <f ca="1">OFFSET(_AFYP,Dashboard!$C10-1,0,1,1)</f>
        <v>236789</v>
      </c>
      <c r="I11" t="e">
        <f ca="1">OFFSET(_red,Dashboard!$C10-1,0,1,1)</f>
        <v>#N/A</v>
      </c>
      <c r="J11" t="e">
        <f ca="1">OFFSET(_yellow,Dashboard!$C10-1,0,1,1)</f>
        <v>#N/A</v>
      </c>
      <c r="K11">
        <f ca="1">OFFSET(_green,Dashboard!$C10-1,0,1,1)</f>
        <v>236789</v>
      </c>
      <c r="L11">
        <f ca="1">OFFSET(_minimum,Dashboard!$C10-1,0,1,1)</f>
        <v>150000</v>
      </c>
      <c r="M11">
        <f ca="1">OFFSET(_standard,Dashboard!$C10-1,0,1,1)</f>
        <v>200000</v>
      </c>
      <c r="N11">
        <f ca="1">OFFSET(_Top,Dashboard!$C10-1,0,1,1)</f>
        <v>568856</v>
      </c>
      <c r="O11">
        <v>7</v>
      </c>
      <c r="P11">
        <f t="shared" ca="1" si="14"/>
        <v>25662</v>
      </c>
      <c r="Q11">
        <f t="shared" ca="1" si="15"/>
        <v>799988</v>
      </c>
      <c r="S11" s="24"/>
      <c r="T11" s="28">
        <f ca="1">IF(ROWS($S$5:S11)&lt;=$T$2,ROWS($S$5:S11),"")</f>
        <v>7</v>
      </c>
      <c r="U11" s="26">
        <f t="array" aca="1" ref="U11" ca="1">MATCH(SMALL(IF(SaleNameRange=CALS!$C$2,MonthRange2),CALS!$T11),IF(SaleNameRange=CALS!$C$2,MonthRange2),0)+5</f>
        <v>16</v>
      </c>
      <c r="V11" s="42">
        <f t="shared" ca="1" si="5"/>
        <v>41091</v>
      </c>
      <c r="W11" s="26">
        <f t="shared" ca="1" si="5"/>
        <v>236789</v>
      </c>
      <c r="X11" s="26">
        <f t="shared" ca="1" si="5"/>
        <v>137618.74</v>
      </c>
      <c r="Y11" s="26">
        <f t="shared" ca="1" si="5"/>
        <v>140000</v>
      </c>
      <c r="Z11" s="26">
        <f t="shared" ca="1" si="3"/>
        <v>568856</v>
      </c>
      <c r="AA11" s="26">
        <f t="shared" ca="1" si="6"/>
        <v>9175</v>
      </c>
      <c r="AB11" s="41">
        <f t="shared" ca="1" si="4"/>
        <v>135719.46000000002</v>
      </c>
      <c r="AC11" s="41">
        <f t="shared" ca="1" si="4"/>
        <v>160793.74</v>
      </c>
      <c r="AD11" s="59" t="str">
        <f t="shared" ca="1" si="7"/>
        <v>µ</v>
      </c>
      <c r="AE11" s="43" t="str">
        <f t="shared" ca="1" si="8"/>
        <v/>
      </c>
      <c r="AF11" s="44" t="str">
        <f t="shared" ca="1" si="9"/>
        <v/>
      </c>
      <c r="AG11">
        <f t="shared" ca="1" si="10"/>
        <v>0</v>
      </c>
      <c r="AH11">
        <v>150000</v>
      </c>
      <c r="AI11">
        <v>200000</v>
      </c>
      <c r="AJ11" t="e">
        <f t="shared" ca="1" si="11"/>
        <v>#N/A</v>
      </c>
      <c r="AK11" t="e">
        <f t="shared" ca="1" si="12"/>
        <v>#N/A</v>
      </c>
      <c r="AL11">
        <f t="shared" ca="1" si="13"/>
        <v>236789</v>
      </c>
    </row>
    <row r="12" spans="1:38" ht="18" x14ac:dyDescent="0.25">
      <c r="S12" s="24"/>
      <c r="T12" s="28">
        <f ca="1">IF(ROWS($S$5:S12)&lt;=$T$2,ROWS($S$5:S12),"")</f>
        <v>8</v>
      </c>
      <c r="U12" s="26">
        <f t="array" aca="1" ref="U12" ca="1">MATCH(SMALL(IF(SaleNameRange=CALS!$C$2,MonthRange2),CALS!$T12),IF(SaleNameRange=CALS!$C$2,MonthRange2),0)+5</f>
        <v>17</v>
      </c>
      <c r="V12" s="42">
        <f t="shared" ca="1" si="5"/>
        <v>41122</v>
      </c>
      <c r="W12" s="26">
        <f t="shared" ca="1" si="5"/>
        <v>713609.65</v>
      </c>
      <c r="X12" s="26">
        <f t="shared" ca="1" si="5"/>
        <v>106509.84</v>
      </c>
      <c r="Y12" s="26">
        <f t="shared" ca="1" si="5"/>
        <v>150000</v>
      </c>
      <c r="Z12" s="26">
        <f t="shared" ca="1" si="3"/>
        <v>713609.65</v>
      </c>
      <c r="AA12" s="26">
        <f t="shared" ca="1" si="6"/>
        <v>7136</v>
      </c>
      <c r="AB12" s="41">
        <f t="shared" ca="1" si="4"/>
        <v>158754.74</v>
      </c>
      <c r="AC12" s="41">
        <f t="shared" ca="1" si="4"/>
        <v>127645.84</v>
      </c>
      <c r="AD12" s="59" t="str">
        <f t="shared" ca="1" si="7"/>
        <v>µ</v>
      </c>
      <c r="AE12" s="43" t="str">
        <f t="shared" ca="1" si="8"/>
        <v/>
      </c>
      <c r="AF12" s="44" t="str">
        <f t="shared" ca="1" si="9"/>
        <v/>
      </c>
      <c r="AG12">
        <f t="shared" ca="1" si="10"/>
        <v>0</v>
      </c>
      <c r="AH12">
        <v>150000</v>
      </c>
      <c r="AI12">
        <v>200000</v>
      </c>
      <c r="AJ12" t="e">
        <f t="shared" ca="1" si="11"/>
        <v>#N/A</v>
      </c>
      <c r="AK12" t="e">
        <f t="shared" ca="1" si="12"/>
        <v>#N/A</v>
      </c>
      <c r="AL12">
        <f t="shared" ca="1" si="13"/>
        <v>713609.65</v>
      </c>
    </row>
    <row r="13" spans="1:38" ht="18" x14ac:dyDescent="0.25">
      <c r="S13" s="24"/>
      <c r="T13" s="28">
        <f ca="1">IF(ROWS($S$5:S13)&lt;=$T$2,ROWS($S$5:S13),"")</f>
        <v>9</v>
      </c>
      <c r="U13" s="26">
        <f t="array" aca="1" ref="U13" ca="1">MATCH(SMALL(IF(SaleNameRange=CALS!$C$2,MonthRange2),CALS!$T13),IF(SaleNameRange=CALS!$C$2,MonthRange2),0)+5</f>
        <v>18</v>
      </c>
      <c r="V13" s="42">
        <f t="shared" ca="1" si="5"/>
        <v>41153</v>
      </c>
      <c r="W13" s="26">
        <f t="shared" ca="1" si="5"/>
        <v>620714</v>
      </c>
      <c r="X13" s="26">
        <f t="shared" ca="1" si="5"/>
        <v>92873.58</v>
      </c>
      <c r="Y13" s="26">
        <f t="shared" ca="1" si="5"/>
        <v>130000</v>
      </c>
      <c r="Z13" s="26">
        <f t="shared" ca="1" si="3"/>
        <v>620714</v>
      </c>
      <c r="AA13" s="26">
        <f t="shared" ca="1" si="6"/>
        <v>6207</v>
      </c>
      <c r="AB13" s="41">
        <f t="shared" ca="1" si="4"/>
        <v>126270.84</v>
      </c>
      <c r="AC13" s="41">
        <f t="shared" ca="1" si="4"/>
        <v>112634.58</v>
      </c>
      <c r="AD13" s="59" t="str">
        <f t="shared" ca="1" si="7"/>
        <v>µ</v>
      </c>
      <c r="AE13" s="43" t="str">
        <f t="shared" ca="1" si="8"/>
        <v/>
      </c>
      <c r="AF13" s="44" t="str">
        <f t="shared" ca="1" si="9"/>
        <v/>
      </c>
      <c r="AG13">
        <f t="shared" ca="1" si="10"/>
        <v>446</v>
      </c>
      <c r="AH13">
        <v>150000</v>
      </c>
      <c r="AI13">
        <v>200000</v>
      </c>
      <c r="AJ13" t="e">
        <f t="shared" ca="1" si="11"/>
        <v>#N/A</v>
      </c>
      <c r="AK13" t="e">
        <f t="shared" ca="1" si="12"/>
        <v>#N/A</v>
      </c>
      <c r="AL13">
        <f t="shared" ca="1" si="13"/>
        <v>620714</v>
      </c>
    </row>
    <row r="14" spans="1:38" ht="18" x14ac:dyDescent="0.25">
      <c r="S14" s="24"/>
      <c r="T14" s="28">
        <f ca="1">IF(ROWS($S$5:S14)&lt;=$T$2,ROWS($S$5:S14),"")</f>
        <v>10</v>
      </c>
      <c r="U14" s="26">
        <f t="array" aca="1" ref="U14" ca="1">MATCH(SMALL(IF(SaleNameRange=CALS!$C$2,MonthRange2),CALS!$T14),IF(SaleNameRange=CALS!$C$2,MonthRange2),0)+5</f>
        <v>19</v>
      </c>
      <c r="V14" s="42">
        <f t="shared" ca="1" si="5"/>
        <v>41183</v>
      </c>
      <c r="W14" s="26">
        <f t="shared" ca="1" si="5"/>
        <v>616961</v>
      </c>
      <c r="X14" s="26">
        <f t="shared" ca="1" si="5"/>
        <v>92094.37</v>
      </c>
      <c r="Y14" s="26">
        <f t="shared" ca="1" si="5"/>
        <v>150000</v>
      </c>
      <c r="Z14" s="26">
        <f t="shared" ca="1" si="3"/>
        <v>616961</v>
      </c>
      <c r="AA14" s="26">
        <f t="shared" ca="1" si="6"/>
        <v>6170</v>
      </c>
      <c r="AB14" s="41">
        <f t="shared" ca="1" si="4"/>
        <v>113043.58</v>
      </c>
      <c r="AC14" s="41">
        <f t="shared" ca="1" si="4"/>
        <v>112264.37</v>
      </c>
      <c r="AD14" s="59" t="str">
        <f t="shared" ca="1" si="7"/>
        <v>µ</v>
      </c>
      <c r="AE14" s="43" t="str">
        <f t="shared" ca="1" si="8"/>
        <v/>
      </c>
      <c r="AF14" s="44" t="str">
        <f t="shared" ca="1" si="9"/>
        <v/>
      </c>
      <c r="AG14">
        <f t="shared" ca="1" si="10"/>
        <v>0</v>
      </c>
      <c r="AH14">
        <v>150000</v>
      </c>
      <c r="AI14">
        <v>200000</v>
      </c>
      <c r="AJ14" t="e">
        <f t="shared" ca="1" si="11"/>
        <v>#N/A</v>
      </c>
      <c r="AK14" t="e">
        <f t="shared" ca="1" si="12"/>
        <v>#N/A</v>
      </c>
      <c r="AL14">
        <f t="shared" ca="1" si="13"/>
        <v>616961</v>
      </c>
    </row>
    <row r="15" spans="1:38" ht="18" x14ac:dyDescent="0.25">
      <c r="H15" t="s">
        <v>70</v>
      </c>
      <c r="I15" t="s">
        <v>71</v>
      </c>
      <c r="J15" s="58" t="s">
        <v>38</v>
      </c>
      <c r="K15" t="s">
        <v>41</v>
      </c>
      <c r="L15" t="s">
        <v>42</v>
      </c>
      <c r="M15" t="s">
        <v>44</v>
      </c>
      <c r="N15" t="s">
        <v>45</v>
      </c>
      <c r="O15" t="s">
        <v>78</v>
      </c>
      <c r="P15" t="s">
        <v>79</v>
      </c>
      <c r="Q15" t="s">
        <v>83</v>
      </c>
      <c r="R15" t="s">
        <v>84</v>
      </c>
      <c r="S15" s="24" t="s">
        <v>85</v>
      </c>
      <c r="T15" s="28">
        <f ca="1">IF(ROWS($S$5:S15)&lt;=$T$2,ROWS($S$5:S15),"")</f>
        <v>11</v>
      </c>
      <c r="U15" s="26">
        <f t="array" aca="1" ref="U15" ca="1">MATCH(SMALL(IF(SaleNameRange=CALS!$C$2,MonthRange2),CALS!$T15),IF(SaleNameRange=CALS!$C$2,MonthRange2),0)+5</f>
        <v>21</v>
      </c>
      <c r="V15" s="42">
        <f t="shared" ca="1" si="5"/>
        <v>41214</v>
      </c>
      <c r="W15" s="26">
        <f t="shared" ca="1" si="5"/>
        <v>532768</v>
      </c>
      <c r="X15" s="26">
        <f t="shared" ca="1" si="5"/>
        <v>79300.639999999999</v>
      </c>
      <c r="Y15" s="26">
        <f t="shared" ca="1" si="5"/>
        <v>150000</v>
      </c>
      <c r="Z15" s="26">
        <f t="shared" ca="1" si="3"/>
        <v>532768</v>
      </c>
      <c r="AA15" s="26">
        <f t="shared" ca="1" si="6"/>
        <v>5328</v>
      </c>
      <c r="AB15" s="41">
        <f t="shared" ca="1" si="4"/>
        <v>108422.37</v>
      </c>
      <c r="AC15" s="41">
        <f t="shared" ca="1" si="4"/>
        <v>95628.64</v>
      </c>
      <c r="AD15" s="59" t="str">
        <f t="shared" ca="1" si="7"/>
        <v/>
      </c>
      <c r="AE15" s="43" t="str">
        <f t="shared" ca="1" si="8"/>
        <v/>
      </c>
      <c r="AF15" s="44" t="str">
        <f t="shared" ca="1" si="9"/>
        <v/>
      </c>
      <c r="AG15">
        <f t="shared" ca="1" si="10"/>
        <v>0</v>
      </c>
      <c r="AH15">
        <v>150000</v>
      </c>
      <c r="AI15">
        <v>200000</v>
      </c>
      <c r="AJ15" t="e">
        <f t="shared" ca="1" si="11"/>
        <v>#N/A</v>
      </c>
      <c r="AK15" t="e">
        <f t="shared" ca="1" si="12"/>
        <v>#N/A</v>
      </c>
      <c r="AL15">
        <f t="shared" ca="1" si="13"/>
        <v>532768</v>
      </c>
    </row>
    <row r="16" spans="1:38" ht="18" x14ac:dyDescent="0.25">
      <c r="H16">
        <f ca="1">OFFSET(_Commiss,Dashboard!$C4-1,0,1,1)</f>
        <v>45641.61</v>
      </c>
      <c r="I16">
        <f ca="1">OFFSET(_MonthRW,Dashboard!$C4-1,0,1,1)</f>
        <v>6200</v>
      </c>
      <c r="J16">
        <f ca="1">OFFSET(_NetRC,Dashboard!$C4-1,0,1,1)</f>
        <v>70883.520000000004</v>
      </c>
      <c r="K16">
        <f ca="1">OFFSET(_Realdone,Dashboard!$C4-1,0,1,1)</f>
        <v>92606.61</v>
      </c>
      <c r="L16" s="60" t="str">
        <f ca="1">OFFSET(_Timebonus,Dashboard!$C4-1,0,1,1)</f>
        <v/>
      </c>
      <c r="M16" s="60" t="str">
        <f ca="1">OFFSET(_quaterly,Dashboard!$C4-1,0,1,1)</f>
        <v/>
      </c>
      <c r="N16" s="60" t="str">
        <f ca="1">OFFSET(_Annual,Dashboard!$C4-1,0,1,1)</f>
        <v>z</v>
      </c>
      <c r="O16">
        <f ca="1">MIN(Income)</f>
        <v>15179.34</v>
      </c>
      <c r="P16" s="53">
        <f ca="1">MAX(Income)</f>
        <v>160793.74</v>
      </c>
      <c r="Q16">
        <v>1</v>
      </c>
      <c r="R16">
        <f ca="1">N5</f>
        <v>789443</v>
      </c>
      <c r="S16" s="24">
        <f ca="1">J16</f>
        <v>70883.520000000004</v>
      </c>
      <c r="T16" s="28">
        <f ca="1">IF(ROWS($S$5:S16)&lt;=$T$2,ROWS($S$5:S16),"")</f>
        <v>12</v>
      </c>
      <c r="U16" s="26">
        <f t="array" aca="1" ref="U16" ca="1">MATCH(SMALL(IF(SaleNameRange=CALS!$C$2,MonthRange2),CALS!$T16),IF(SaleNameRange=CALS!$C$2,MonthRange2),0)+5</f>
        <v>22</v>
      </c>
      <c r="V16" s="42">
        <f t="shared" ca="1" si="5"/>
        <v>41244</v>
      </c>
      <c r="W16" s="26">
        <f t="shared" ca="1" si="5"/>
        <v>168125</v>
      </c>
      <c r="X16" s="26">
        <f t="shared" ca="1" si="5"/>
        <v>21466.510000000002</v>
      </c>
      <c r="Y16" s="26">
        <f t="shared" ca="1" si="5"/>
        <v>150000</v>
      </c>
      <c r="Z16" s="26">
        <f t="shared" ca="1" si="3"/>
        <v>600970</v>
      </c>
      <c r="AA16" s="26">
        <f t="shared" ca="1" si="6"/>
        <v>1681</v>
      </c>
      <c r="AB16" s="41">
        <f t="shared" ca="1" si="4"/>
        <v>101981.64</v>
      </c>
      <c r="AC16" s="41">
        <f t="shared" ca="1" si="4"/>
        <v>44147.51</v>
      </c>
      <c r="AD16" s="59" t="str">
        <f t="shared" ca="1" si="7"/>
        <v/>
      </c>
      <c r="AE16" s="43" t="str">
        <f t="shared" ca="1" si="8"/>
        <v>v</v>
      </c>
      <c r="AF16" s="44" t="str">
        <f t="shared" ca="1" si="9"/>
        <v/>
      </c>
      <c r="AG16">
        <f t="shared" ca="1" si="10"/>
        <v>0</v>
      </c>
      <c r="AH16">
        <v>150000</v>
      </c>
      <c r="AI16">
        <v>200000</v>
      </c>
      <c r="AJ16" t="e">
        <f t="shared" ca="1" si="11"/>
        <v>#N/A</v>
      </c>
      <c r="AK16">
        <f t="shared" ca="1" si="12"/>
        <v>168125</v>
      </c>
      <c r="AL16" t="e">
        <f t="shared" ca="1" si="13"/>
        <v>#N/A</v>
      </c>
    </row>
    <row r="17" spans="4:38" ht="18" x14ac:dyDescent="0.25">
      <c r="H17">
        <f ca="1">OFFSET(_Commiss,Dashboard!$C5-1,0,1,1)</f>
        <v>57391.71</v>
      </c>
      <c r="I17">
        <f ca="1">OFFSET(_MonthRW,Dashboard!$C5-1,0,1,1)</f>
        <v>8300</v>
      </c>
      <c r="J17">
        <f ca="1">OFFSET(_NetRC,Dashboard!$C5-1,0,1,1)</f>
        <v>64941.61</v>
      </c>
      <c r="K17">
        <f ca="1">OFFSET(_Realdone,Dashboard!$C5-1,0,1,1)</f>
        <v>76691.709999999992</v>
      </c>
      <c r="L17" s="60" t="str">
        <f ca="1">OFFSET(_Timebonus,Dashboard!$C5-1,0,1,1)</f>
        <v/>
      </c>
      <c r="M17" s="60" t="str">
        <f ca="1">OFFSET(_quaterly,Dashboard!$C5-1,0,1,1)</f>
        <v/>
      </c>
      <c r="N17" s="60" t="str">
        <f ca="1">OFFSET(_Annual,Dashboard!$C5-1,0,1,1)</f>
        <v/>
      </c>
      <c r="O17">
        <f ca="1">O16</f>
        <v>15179.34</v>
      </c>
      <c r="P17">
        <f ca="1">P16</f>
        <v>160793.74</v>
      </c>
      <c r="Q17">
        <v>2</v>
      </c>
      <c r="R17" t="e">
        <f>NA()</f>
        <v>#N/A</v>
      </c>
      <c r="S17" t="e">
        <f>NA()</f>
        <v>#N/A</v>
      </c>
      <c r="T17" s="28">
        <f ca="1">IF(ROWS($S$5:S17)&lt;=$T$2,ROWS($S$5:S17),"")</f>
        <v>13</v>
      </c>
      <c r="U17" s="26">
        <f t="array" aca="1" ref="U17" ca="1">MATCH(SMALL(IF(SaleNameRange=CALS!$C$2,MonthRange2),CALS!$T17),IF(SaleNameRange=CALS!$C$2,MonthRange2),0)+5</f>
        <v>24</v>
      </c>
      <c r="V17" s="42">
        <f t="shared" ca="1" si="5"/>
        <v>41275</v>
      </c>
      <c r="W17" s="26">
        <f t="shared" ca="1" si="5"/>
        <v>80717</v>
      </c>
      <c r="X17" s="26">
        <f t="shared" ca="1" si="5"/>
        <v>10010.66</v>
      </c>
      <c r="Y17" s="26">
        <f t="shared" ca="1" si="5"/>
        <v>200000</v>
      </c>
      <c r="Z17" s="26">
        <f t="shared" ca="1" si="3"/>
        <v>510007</v>
      </c>
      <c r="AA17" s="26">
        <f t="shared" ca="1" si="6"/>
        <v>807</v>
      </c>
      <c r="AB17" s="41">
        <f t="shared" ca="1" si="4"/>
        <v>35043.51</v>
      </c>
      <c r="AC17" s="41">
        <f t="shared" ca="1" si="4"/>
        <v>23587.66</v>
      </c>
      <c r="AD17" s="59" t="str">
        <f t="shared" ca="1" si="7"/>
        <v>µ</v>
      </c>
      <c r="AE17" s="43" t="str">
        <f t="shared" ca="1" si="8"/>
        <v/>
      </c>
      <c r="AF17" s="44" t="str">
        <f t="shared" ca="1" si="9"/>
        <v/>
      </c>
      <c r="AG17">
        <f t="shared" ca="1" si="10"/>
        <v>1230</v>
      </c>
      <c r="AH17">
        <v>150000</v>
      </c>
      <c r="AI17">
        <v>200000</v>
      </c>
      <c r="AJ17">
        <f t="shared" ca="1" si="11"/>
        <v>80717</v>
      </c>
      <c r="AK17" t="e">
        <f t="shared" ca="1" si="12"/>
        <v>#N/A</v>
      </c>
      <c r="AL17" t="e">
        <f t="shared" ca="1" si="13"/>
        <v>#N/A</v>
      </c>
    </row>
    <row r="18" spans="4:38" ht="18" x14ac:dyDescent="0.25">
      <c r="H18">
        <f ca="1">OFFSET(_Commiss,Dashboard!$C6-1,0,1,1)</f>
        <v>66859.200000000012</v>
      </c>
      <c r="I18">
        <f ca="1">OFFSET(_MonthRW,Dashboard!$C6-1,0,1,1)</f>
        <v>10200</v>
      </c>
      <c r="J18">
        <f ca="1">OFFSET(_NetRC,Dashboard!$C6-1,0,1,1)</f>
        <v>84591.709999999992</v>
      </c>
      <c r="K18">
        <f ca="1">OFFSET(_Realdone,Dashboard!$C6-1,0,1,1)</f>
        <v>94059.200000000012</v>
      </c>
      <c r="L18" s="60" t="str">
        <f ca="1">OFFSET(_Timebonus,Dashboard!$C6-1,0,1,1)</f>
        <v>µ</v>
      </c>
      <c r="M18" s="60" t="str">
        <f ca="1">OFFSET(_quaterly,Dashboard!$C6-1,0,1,1)</f>
        <v>v</v>
      </c>
      <c r="N18" s="60" t="str">
        <f ca="1">OFFSET(_Annual,Dashboard!$C6-1,0,1,1)</f>
        <v/>
      </c>
      <c r="O18">
        <f t="shared" ref="O18:O22" ca="1" si="16">O17</f>
        <v>15179.34</v>
      </c>
      <c r="P18">
        <f t="shared" ref="P18:P22" ca="1" si="17">P17</f>
        <v>160793.74</v>
      </c>
      <c r="Q18">
        <v>3</v>
      </c>
      <c r="R18">
        <f ca="1">N6</f>
        <v>690667</v>
      </c>
      <c r="S18" s="24">
        <f ca="1">J17</f>
        <v>64941.61</v>
      </c>
      <c r="T18" s="28">
        <f ca="1">IF(ROWS($S$5:S18)&lt;=$T$2,ROWS($S$5:S18),"")</f>
        <v>14</v>
      </c>
      <c r="U18" s="26">
        <f t="array" aca="1" ref="U18" ca="1">MATCH(SMALL(IF(SaleNameRange=CALS!$C$2,MonthRange2),CALS!$T18),IF(SaleNameRange=CALS!$C$2,MonthRange2),0)+5</f>
        <v>26</v>
      </c>
      <c r="V18" s="42">
        <f t="shared" ca="1" si="5"/>
        <v>41306</v>
      </c>
      <c r="W18" s="26">
        <f t="shared" ca="1" si="5"/>
        <v>587488</v>
      </c>
      <c r="X18" s="26">
        <f t="shared" ca="1" si="5"/>
        <v>86496.22</v>
      </c>
      <c r="Y18" s="26">
        <f t="shared" ca="1" si="5"/>
        <v>200000</v>
      </c>
      <c r="Z18" s="26">
        <f t="shared" ca="1" si="3"/>
        <v>587488</v>
      </c>
      <c r="AA18" s="26">
        <f t="shared" ca="1" si="6"/>
        <v>5875</v>
      </c>
      <c r="AB18" s="41">
        <f t="shared" ca="1" si="4"/>
        <v>29885.66</v>
      </c>
      <c r="AC18" s="41">
        <f t="shared" ca="1" si="4"/>
        <v>106371.22</v>
      </c>
      <c r="AD18" s="59" t="str">
        <f t="shared" ca="1" si="7"/>
        <v>µ</v>
      </c>
      <c r="AE18" s="43" t="str">
        <f t="shared" ca="1" si="8"/>
        <v/>
      </c>
      <c r="AF18" s="44" t="str">
        <f t="shared" ca="1" si="9"/>
        <v/>
      </c>
      <c r="AG18">
        <f t="shared" ca="1" si="10"/>
        <v>0</v>
      </c>
      <c r="AH18">
        <v>150000</v>
      </c>
      <c r="AI18">
        <v>200000</v>
      </c>
      <c r="AJ18" t="e">
        <f t="shared" ca="1" si="11"/>
        <v>#N/A</v>
      </c>
      <c r="AK18" t="e">
        <f t="shared" ca="1" si="12"/>
        <v>#N/A</v>
      </c>
      <c r="AL18">
        <f t="shared" ca="1" si="13"/>
        <v>587488</v>
      </c>
    </row>
    <row r="19" spans="4:38" ht="18" x14ac:dyDescent="0.25">
      <c r="H19">
        <f ca="1">OFFSET(_Commiss,Dashboard!$C7-1,0,1,1)</f>
        <v>84853.560000000012</v>
      </c>
      <c r="I19">
        <f ca="1">OFFSET(_MonthRW,Dashboard!$C7-1,0,1,1)</f>
        <v>6027</v>
      </c>
      <c r="J19">
        <f ca="1">OFFSET(_NetRC,Dashboard!$C7-1,0,1,1)</f>
        <v>83886.200000000012</v>
      </c>
      <c r="K19">
        <f ca="1">OFFSET(_Realdone,Dashboard!$C7-1,0,1,1)</f>
        <v>101880.56000000001</v>
      </c>
      <c r="L19" s="60" t="str">
        <f ca="1">OFFSET(_Timebonus,Dashboard!$C7-1,0,1,1)</f>
        <v/>
      </c>
      <c r="M19" s="60" t="str">
        <f ca="1">OFFSET(_quaterly,Dashboard!$C7-1,0,1,1)</f>
        <v/>
      </c>
      <c r="N19" s="60" t="str">
        <f ca="1">OFFSET(_Annual,Dashboard!$C7-1,0,1,1)</f>
        <v/>
      </c>
      <c r="O19">
        <f t="shared" ca="1" si="16"/>
        <v>15179.34</v>
      </c>
      <c r="P19">
        <f t="shared" ca="1" si="17"/>
        <v>160793.74</v>
      </c>
      <c r="Q19">
        <v>4</v>
      </c>
      <c r="R19" t="e">
        <f>NA()</f>
        <v>#N/A</v>
      </c>
      <c r="S19" t="e">
        <f>NA()</f>
        <v>#N/A</v>
      </c>
      <c r="T19" s="28">
        <f ca="1">IF(ROWS($S$5:S19)&lt;=$T$2,ROWS($S$5:S19),"")</f>
        <v>15</v>
      </c>
      <c r="U19" s="26">
        <f t="array" aca="1" ref="U19" ca="1">MATCH(SMALL(IF(SaleNameRange=CALS!$C$2,MonthRange2),CALS!$T19),IF(SaleNameRange=CALS!$C$2,MonthRange2),0)+5</f>
        <v>9</v>
      </c>
      <c r="V19" s="42">
        <f t="shared" ca="1" si="5"/>
        <v>41334</v>
      </c>
      <c r="W19" s="26">
        <f t="shared" ca="1" si="5"/>
        <v>25662</v>
      </c>
      <c r="X19" s="26">
        <f t="shared" ca="1" si="5"/>
        <v>3849.3</v>
      </c>
      <c r="Y19" s="26">
        <f t="shared" ca="1" si="5"/>
        <v>125000</v>
      </c>
      <c r="Z19" s="26">
        <f t="shared" ca="1" si="3"/>
        <v>567999</v>
      </c>
      <c r="AA19" s="26">
        <f t="shared" ca="1" si="6"/>
        <v>257</v>
      </c>
      <c r="AB19" s="41">
        <f t="shared" ca="1" si="4"/>
        <v>100753.22</v>
      </c>
      <c r="AC19" s="41">
        <f t="shared" ca="1" si="4"/>
        <v>18106.3</v>
      </c>
      <c r="AD19" s="59" t="str">
        <f t="shared" ca="1" si="7"/>
        <v>µ</v>
      </c>
      <c r="AE19" s="43" t="str">
        <f t="shared" ca="1" si="8"/>
        <v/>
      </c>
      <c r="AF19" s="44" t="str">
        <f t="shared" ca="1" si="9"/>
        <v/>
      </c>
      <c r="AG19">
        <f t="shared" ca="1" si="10"/>
        <v>0</v>
      </c>
      <c r="AH19">
        <v>150000</v>
      </c>
      <c r="AI19">
        <v>200000</v>
      </c>
      <c r="AJ19">
        <f t="shared" ca="1" si="11"/>
        <v>25662</v>
      </c>
      <c r="AK19" t="e">
        <f t="shared" ca="1" si="12"/>
        <v>#N/A</v>
      </c>
      <c r="AL19" t="e">
        <f t="shared" ca="1" si="13"/>
        <v>#N/A</v>
      </c>
    </row>
    <row r="20" spans="4:38" ht="18" x14ac:dyDescent="0.25">
      <c r="H20">
        <f ca="1">OFFSET(_Commiss,Dashboard!$C8-1,0,1,1)</f>
        <v>56455.5</v>
      </c>
      <c r="I20">
        <f ca="1">OFFSET(_MonthRW,Dashboard!$C8-1,0,1,1)</f>
        <v>3764</v>
      </c>
      <c r="J20">
        <f ca="1">OFFSET(_NetRC,Dashboard!$C8-1,0,1,1)</f>
        <v>99617.560000000012</v>
      </c>
      <c r="K20">
        <f ca="1">OFFSET(_Realdone,Dashboard!$C8-1,0,1,1)</f>
        <v>71219.5</v>
      </c>
      <c r="L20" s="60" t="str">
        <f ca="1">OFFSET(_Timebonus,Dashboard!$C8-1,0,1,1)</f>
        <v/>
      </c>
      <c r="M20" s="60" t="str">
        <f ca="1">OFFSET(_quaterly,Dashboard!$C8-1,0,1,1)</f>
        <v/>
      </c>
      <c r="N20" s="60" t="str">
        <f ca="1">OFFSET(_Annual,Dashboard!$C8-1,0,1,1)</f>
        <v/>
      </c>
      <c r="O20">
        <f t="shared" ca="1" si="16"/>
        <v>15179.34</v>
      </c>
      <c r="P20">
        <f t="shared" ca="1" si="17"/>
        <v>160793.74</v>
      </c>
      <c r="Q20">
        <v>5</v>
      </c>
      <c r="R20">
        <f ca="1">N7</f>
        <v>688012</v>
      </c>
      <c r="S20" s="24">
        <f ca="1">J18</f>
        <v>84591.709999999992</v>
      </c>
      <c r="T20" s="28">
        <f ca="1">IF(ROWS($S$5:S20)&lt;=$T$2,ROWS($S$5:S20),"")</f>
        <v>16</v>
      </c>
      <c r="U20" s="26">
        <f t="array" aca="1" ref="U20" ca="1">MATCH(SMALL(IF(SaleNameRange=CALS!$C$2,MonthRange2),CALS!$T20),IF(SaleNameRange=CALS!$C$2,MonthRange2),0)+5</f>
        <v>10</v>
      </c>
      <c r="V20" s="42">
        <f t="shared" ca="1" si="5"/>
        <v>41365</v>
      </c>
      <c r="W20" s="26">
        <f t="shared" ca="1" si="5"/>
        <v>274179</v>
      </c>
      <c r="X20" s="26">
        <f t="shared" ca="1" si="5"/>
        <v>37878.959999999999</v>
      </c>
      <c r="Y20" s="26">
        <f t="shared" ca="1" si="5"/>
        <v>140000</v>
      </c>
      <c r="Z20" s="26">
        <f t="shared" ca="1" si="3"/>
        <v>754007</v>
      </c>
      <c r="AA20" s="26">
        <f t="shared" ca="1" si="6"/>
        <v>2742</v>
      </c>
      <c r="AB20" s="41">
        <f t="shared" ca="1" si="4"/>
        <v>20591.3</v>
      </c>
      <c r="AC20" s="41">
        <f t="shared" ca="1" si="4"/>
        <v>54620.959999999999</v>
      </c>
      <c r="AD20" s="59" t="str">
        <f t="shared" ca="1" si="7"/>
        <v>µ</v>
      </c>
      <c r="AE20" s="43" t="str">
        <f t="shared" ca="1" si="8"/>
        <v/>
      </c>
      <c r="AF20" s="44" t="str">
        <f t="shared" ca="1" si="9"/>
        <v/>
      </c>
      <c r="AG20">
        <f t="shared" ca="1" si="10"/>
        <v>0</v>
      </c>
      <c r="AH20">
        <v>150000</v>
      </c>
      <c r="AI20">
        <v>200000</v>
      </c>
      <c r="AJ20" t="e">
        <f t="shared" ca="1" si="11"/>
        <v>#N/A</v>
      </c>
      <c r="AK20" t="e">
        <f t="shared" ca="1" si="12"/>
        <v>#N/A</v>
      </c>
      <c r="AL20">
        <f t="shared" ca="1" si="13"/>
        <v>274179</v>
      </c>
    </row>
    <row r="21" spans="4:38" ht="18" x14ac:dyDescent="0.25">
      <c r="D21" s="23"/>
      <c r="H21">
        <f ca="1">OFFSET(_Commiss,Dashboard!$C9-1,0,1,1)</f>
        <v>112544.46</v>
      </c>
      <c r="I21">
        <f ca="1">OFFSET(_MonthRW,Dashboard!$C9-1,0,1,1)</f>
        <v>7661</v>
      </c>
      <c r="J21">
        <f ca="1">OFFSET(_NetRC,Dashboard!$C9-1,0,1,1)</f>
        <v>78616.5</v>
      </c>
      <c r="K21">
        <f ca="1">OFFSET(_Realdone,Dashboard!$C9-1,0,1,1)</f>
        <v>134705.46000000002</v>
      </c>
      <c r="L21" s="60" t="str">
        <f ca="1">OFFSET(_Timebonus,Dashboard!$C9-1,0,1,1)</f>
        <v/>
      </c>
      <c r="M21" s="60" t="str">
        <f ca="1">OFFSET(_quaterly,Dashboard!$C9-1,0,1,1)</f>
        <v>v</v>
      </c>
      <c r="N21" s="60" t="str">
        <f ca="1">OFFSET(_Annual,Dashboard!$C9-1,0,1,1)</f>
        <v/>
      </c>
      <c r="O21">
        <f t="shared" ca="1" si="16"/>
        <v>15179.34</v>
      </c>
      <c r="P21">
        <f t="shared" ca="1" si="17"/>
        <v>160793.74</v>
      </c>
      <c r="Q21">
        <v>6</v>
      </c>
      <c r="R21" t="e">
        <f>NA()</f>
        <v>#N/A</v>
      </c>
      <c r="S21" t="e">
        <f>NA()</f>
        <v>#N/A</v>
      </c>
      <c r="T21" s="28">
        <f ca="1">IF(ROWS($S$5:S21)&lt;=$T$2,ROWS($S$5:S21),"")</f>
        <v>17</v>
      </c>
      <c r="U21" s="26">
        <f t="array" aca="1" ref="U21" ca="1">MATCH(SMALL(IF(SaleNameRange=CALS!$C$2,MonthRange2),CALS!$T21),IF(SaleNameRange=CALS!$C$2,MonthRange2),0)+5</f>
        <v>11</v>
      </c>
      <c r="V21" s="42">
        <f t="shared" ca="1" si="5"/>
        <v>41395</v>
      </c>
      <c r="W21" s="26">
        <f t="shared" ca="1" si="5"/>
        <v>117616</v>
      </c>
      <c r="X21" s="26">
        <f t="shared" ca="1" si="5"/>
        <v>14275.690000000002</v>
      </c>
      <c r="Y21" s="26">
        <f t="shared" ca="1" si="5"/>
        <v>150000</v>
      </c>
      <c r="Z21" s="26">
        <f t="shared" ca="1" si="3"/>
        <v>511908</v>
      </c>
      <c r="AA21" s="26">
        <f t="shared" ca="1" si="6"/>
        <v>1176</v>
      </c>
      <c r="AB21" s="41">
        <f t="shared" ca="1" si="6"/>
        <v>53054.96</v>
      </c>
      <c r="AC21" s="41">
        <f t="shared" ca="1" si="6"/>
        <v>29451.690000000002</v>
      </c>
      <c r="AD21" s="59" t="str">
        <f t="shared" ca="1" si="7"/>
        <v>µ</v>
      </c>
      <c r="AE21" s="43" t="str">
        <f t="shared" ca="1" si="8"/>
        <v/>
      </c>
      <c r="AF21" s="44" t="str">
        <f t="shared" ca="1" si="9"/>
        <v/>
      </c>
      <c r="AG21">
        <f t="shared" ca="1" si="10"/>
        <v>0</v>
      </c>
      <c r="AH21">
        <v>150000</v>
      </c>
      <c r="AI21">
        <v>200000</v>
      </c>
      <c r="AJ21">
        <f t="shared" ca="1" si="11"/>
        <v>117616</v>
      </c>
      <c r="AK21" t="e">
        <f t="shared" ca="1" si="12"/>
        <v>#N/A</v>
      </c>
      <c r="AL21" t="e">
        <f t="shared" ca="1" si="13"/>
        <v>#N/A</v>
      </c>
    </row>
    <row r="22" spans="4:38" ht="18" x14ac:dyDescent="0.25">
      <c r="H22">
        <f ca="1">OFFSET(_Commiss,Dashboard!$C10-1,0,1,1)</f>
        <v>137618.74</v>
      </c>
      <c r="I22">
        <f ca="1">OFFSET(_MonthRW,Dashboard!$C10-1,0,1,1)</f>
        <v>9175</v>
      </c>
      <c r="J22">
        <f ca="1">OFFSET(_NetRC,Dashboard!$C10-1,0,1,1)</f>
        <v>135719.46000000002</v>
      </c>
      <c r="K22">
        <f ca="1">OFFSET(_Realdone,Dashboard!$C10-1,0,1,1)</f>
        <v>160793.74</v>
      </c>
      <c r="L22" s="60" t="str">
        <f ca="1">OFFSET(_Timebonus,Dashboard!$C10-1,0,1,1)</f>
        <v>µ</v>
      </c>
      <c r="M22" s="60" t="str">
        <f ca="1">OFFSET(_quaterly,Dashboard!$C10-1,0,1,1)</f>
        <v/>
      </c>
      <c r="N22" s="60" t="str">
        <f ca="1">OFFSET(_Annual,Dashboard!$C10-1,0,1,1)</f>
        <v/>
      </c>
      <c r="O22">
        <f t="shared" ca="1" si="16"/>
        <v>15179.34</v>
      </c>
      <c r="P22">
        <f t="shared" ca="1" si="17"/>
        <v>160793.74</v>
      </c>
      <c r="Q22">
        <v>7</v>
      </c>
      <c r="R22">
        <f ca="1">N8</f>
        <v>602679</v>
      </c>
      <c r="S22" s="24">
        <f ca="1">J19</f>
        <v>83886.200000000012</v>
      </c>
      <c r="T22" s="28">
        <f ca="1">IF(ROWS($S$5:S22)&lt;=$T$2,ROWS($S$5:S22),"")</f>
        <v>18</v>
      </c>
      <c r="U22" s="26">
        <f t="array" aca="1" ref="U22" ca="1">MATCH(SMALL(IF(SaleNameRange=CALS!$C$2,MonthRange2),CALS!$T22),IF(SaleNameRange=CALS!$C$2,MonthRange2),0)+5</f>
        <v>12</v>
      </c>
      <c r="V22" s="42">
        <f t="shared" ca="1" si="5"/>
        <v>41426</v>
      </c>
      <c r="W22" s="26">
        <f t="shared" ca="1" si="5"/>
        <v>71222</v>
      </c>
      <c r="X22" s="26">
        <f t="shared" ca="1" si="5"/>
        <v>8024.83</v>
      </c>
      <c r="Y22" s="26">
        <f t="shared" ca="1" si="5"/>
        <v>130000</v>
      </c>
      <c r="Z22" s="26">
        <f t="shared" ca="1" si="3"/>
        <v>538603</v>
      </c>
      <c r="AA22" s="26">
        <f t="shared" ca="1" si="6"/>
        <v>712</v>
      </c>
      <c r="AB22" s="41">
        <f t="shared" ca="1" si="6"/>
        <v>28987.690000000002</v>
      </c>
      <c r="AC22" s="41">
        <f t="shared" ca="1" si="6"/>
        <v>22736.83</v>
      </c>
      <c r="AD22" s="59" t="str">
        <f t="shared" ca="1" si="7"/>
        <v>µ</v>
      </c>
      <c r="AE22" s="43" t="str">
        <f t="shared" ca="1" si="8"/>
        <v/>
      </c>
      <c r="AF22" s="44" t="str">
        <f t="shared" ca="1" si="9"/>
        <v/>
      </c>
      <c r="AG22">
        <f t="shared" ca="1" si="10"/>
        <v>0</v>
      </c>
      <c r="AH22">
        <v>150000</v>
      </c>
      <c r="AI22">
        <v>200000</v>
      </c>
      <c r="AJ22">
        <f t="shared" ca="1" si="11"/>
        <v>71222</v>
      </c>
      <c r="AK22" t="e">
        <f t="shared" ca="1" si="12"/>
        <v>#N/A</v>
      </c>
      <c r="AL22" t="e">
        <f t="shared" ca="1" si="13"/>
        <v>#N/A</v>
      </c>
    </row>
    <row r="23" spans="4:38" ht="18" x14ac:dyDescent="0.25">
      <c r="Q23">
        <v>8</v>
      </c>
      <c r="R23" t="e">
        <f>NA()</f>
        <v>#N/A</v>
      </c>
      <c r="S23" t="e">
        <f>NA()</f>
        <v>#N/A</v>
      </c>
      <c r="T23" s="28">
        <f ca="1">IF(ROWS($S$5:S23)&lt;=$T$2,ROWS($S$5:S23),"")</f>
        <v>19</v>
      </c>
      <c r="U23" s="26">
        <f t="array" aca="1" ref="U23" ca="1">MATCH(SMALL(IF(SaleNameRange=CALS!$C$2,MonthRange2),CALS!$T23),IF(SaleNameRange=CALS!$C$2,MonthRange2),0)+5</f>
        <v>27</v>
      </c>
      <c r="V23" s="42">
        <f t="shared" ca="1" si="5"/>
        <v>41456</v>
      </c>
      <c r="W23" s="26">
        <f t="shared" ca="1" si="5"/>
        <v>293795</v>
      </c>
      <c r="X23" s="26">
        <f t="shared" ca="1" si="5"/>
        <v>44069.25</v>
      </c>
      <c r="Y23" s="26">
        <f t="shared" ca="1" si="5"/>
        <v>150000</v>
      </c>
      <c r="Z23" s="26">
        <f t="shared" ca="1" si="3"/>
        <v>799988</v>
      </c>
      <c r="AA23" s="26">
        <f t="shared" ca="1" si="6"/>
        <v>2938</v>
      </c>
      <c r="AB23" s="41">
        <f t="shared" ca="1" si="6"/>
        <v>24402.83</v>
      </c>
      <c r="AC23" s="41">
        <f t="shared" ca="1" si="6"/>
        <v>60447.25</v>
      </c>
      <c r="AD23" s="59" t="str">
        <f t="shared" ca="1" si="7"/>
        <v>µ</v>
      </c>
      <c r="AE23" s="43" t="str">
        <f t="shared" ca="1" si="8"/>
        <v/>
      </c>
      <c r="AF23" s="44" t="str">
        <f t="shared" ca="1" si="9"/>
        <v/>
      </c>
      <c r="AG23">
        <f t="shared" ca="1" si="10"/>
        <v>560</v>
      </c>
      <c r="AH23">
        <v>150000</v>
      </c>
      <c r="AI23">
        <v>200000</v>
      </c>
      <c r="AJ23" t="e">
        <f t="shared" ca="1" si="11"/>
        <v>#N/A</v>
      </c>
      <c r="AK23" t="e">
        <f t="shared" ca="1" si="12"/>
        <v>#N/A</v>
      </c>
      <c r="AL23">
        <f t="shared" ca="1" si="13"/>
        <v>293795</v>
      </c>
    </row>
    <row r="24" spans="4:38" ht="18" x14ac:dyDescent="0.25">
      <c r="Q24">
        <v>9</v>
      </c>
      <c r="R24">
        <f ca="1">N9</f>
        <v>570999</v>
      </c>
      <c r="S24" s="24">
        <f ca="1">J20</f>
        <v>99617.560000000012</v>
      </c>
      <c r="T24" s="28">
        <f ca="1">IF(ROWS($S$5:S24)&lt;=$T$2,ROWS($S$5:S24),"")</f>
        <v>20</v>
      </c>
      <c r="U24" s="26">
        <f t="array" aca="1" ref="U24" ca="1">MATCH(SMALL(IF(SaleNameRange=CALS!$C$2,MonthRange2),CALS!$T24),IF(SaleNameRange=CALS!$C$2,MonthRange2),0)+5</f>
        <v>28</v>
      </c>
      <c r="V24" s="42">
        <f t="shared" ca="1" si="5"/>
        <v>41487</v>
      </c>
      <c r="W24" s="26">
        <f t="shared" ca="1" si="5"/>
        <v>143540</v>
      </c>
      <c r="X24" s="26">
        <f t="shared" ca="1" si="5"/>
        <v>19710.47</v>
      </c>
      <c r="Y24" s="26">
        <f t="shared" ca="1" si="5"/>
        <v>150000</v>
      </c>
      <c r="Z24" s="26">
        <f t="shared" ca="1" si="3"/>
        <v>689111</v>
      </c>
      <c r="AA24" s="26">
        <f t="shared" ca="1" si="6"/>
        <v>1435</v>
      </c>
      <c r="AB24" s="41">
        <f t="shared" ca="1" si="6"/>
        <v>59504.25</v>
      </c>
      <c r="AC24" s="41">
        <f t="shared" ca="1" si="6"/>
        <v>35145.47</v>
      </c>
      <c r="AD24" s="59" t="str">
        <f t="shared" ca="1" si="7"/>
        <v>µ</v>
      </c>
      <c r="AE24" s="43" t="str">
        <f t="shared" ca="1" si="8"/>
        <v/>
      </c>
      <c r="AF24" s="44" t="str">
        <f t="shared" ca="1" si="9"/>
        <v/>
      </c>
      <c r="AG24">
        <f t="shared" ca="1" si="10"/>
        <v>0</v>
      </c>
      <c r="AH24">
        <v>150000</v>
      </c>
      <c r="AI24">
        <v>200000</v>
      </c>
      <c r="AJ24">
        <f t="shared" ca="1" si="11"/>
        <v>143540</v>
      </c>
      <c r="AK24" t="e">
        <f t="shared" ca="1" si="12"/>
        <v>#N/A</v>
      </c>
      <c r="AL24" t="e">
        <f t="shared" ca="1" si="13"/>
        <v>#N/A</v>
      </c>
    </row>
    <row r="25" spans="4:38" ht="18" x14ac:dyDescent="0.25">
      <c r="Q25">
        <v>10</v>
      </c>
      <c r="R25" t="e">
        <f>NA()</f>
        <v>#N/A</v>
      </c>
      <c r="S25" t="e">
        <f>NA()</f>
        <v>#N/A</v>
      </c>
      <c r="T25" s="28">
        <f ca="1">IF(ROWS($S$5:S25)&lt;=$T$2,ROWS($S$5:S25),"")</f>
        <v>21</v>
      </c>
      <c r="U25" s="26">
        <f t="array" aca="1" ref="U25" ca="1">MATCH(SMALL(IF(SaleNameRange=CALS!$C$2,MonthRange2),CALS!$T25),IF(SaleNameRange=CALS!$C$2,MonthRange2),0)+5</f>
        <v>30</v>
      </c>
      <c r="V25" s="42">
        <f t="shared" ca="1" si="5"/>
        <v>41518</v>
      </c>
      <c r="W25" s="26">
        <f t="shared" ca="1" si="5"/>
        <v>122964</v>
      </c>
      <c r="X25" s="26">
        <f t="shared" ca="1" si="5"/>
        <v>15535.179999999998</v>
      </c>
      <c r="Y25" s="26">
        <f t="shared" ca="1" si="5"/>
        <v>150000</v>
      </c>
      <c r="Z25" s="26">
        <f t="shared" ca="1" si="3"/>
        <v>778090</v>
      </c>
      <c r="AA25" s="26">
        <f t="shared" ca="1" si="6"/>
        <v>1230</v>
      </c>
      <c r="AB25" s="41">
        <f t="shared" ca="1" si="6"/>
        <v>51940.47</v>
      </c>
      <c r="AC25" s="41">
        <f t="shared" ca="1" si="6"/>
        <v>47765.18</v>
      </c>
      <c r="AD25" s="59" t="str">
        <f t="shared" ca="1" si="7"/>
        <v/>
      </c>
      <c r="AE25" s="43" t="str">
        <f t="shared" ca="1" si="8"/>
        <v>v</v>
      </c>
      <c r="AF25" s="44" t="str">
        <f t="shared" ca="1" si="9"/>
        <v/>
      </c>
      <c r="AG25">
        <f t="shared" ca="1" si="10"/>
        <v>0</v>
      </c>
      <c r="AH25">
        <v>150000</v>
      </c>
      <c r="AI25">
        <v>200000</v>
      </c>
      <c r="AJ25">
        <f t="shared" ca="1" si="11"/>
        <v>122964</v>
      </c>
      <c r="AK25" t="e">
        <f t="shared" ca="1" si="12"/>
        <v>#N/A</v>
      </c>
      <c r="AL25" t="e">
        <f t="shared" ca="1" si="13"/>
        <v>#N/A</v>
      </c>
    </row>
    <row r="26" spans="4:38" ht="18" x14ac:dyDescent="0.25">
      <c r="Q26">
        <v>11</v>
      </c>
      <c r="R26">
        <f ca="1">N10</f>
        <v>766080.87</v>
      </c>
      <c r="S26" s="24">
        <f ca="1">J21</f>
        <v>78616.5</v>
      </c>
      <c r="T26" s="28">
        <f ca="1">IF(ROWS($S$5:S26)&lt;=$T$2,ROWS($S$5:S26),"")</f>
        <v>22</v>
      </c>
      <c r="U26" s="26">
        <f t="array" aca="1" ref="U26" ca="1">MATCH(SMALL(IF(SaleNameRange=CALS!$C$2,MonthRange2),CALS!$T26),IF(SaleNameRange=CALS!$C$2,MonthRange2),0)+5</f>
        <v>31</v>
      </c>
      <c r="V26" s="42">
        <f t="shared" ca="1" si="5"/>
        <v>41548</v>
      </c>
      <c r="W26" s="26">
        <f t="shared" ca="1" si="5"/>
        <v>32476</v>
      </c>
      <c r="X26" s="26">
        <f t="shared" ca="1" si="5"/>
        <v>3854.3399999999997</v>
      </c>
      <c r="Y26" s="26">
        <f t="shared" ca="1" si="5"/>
        <v>200000</v>
      </c>
      <c r="Z26" s="26">
        <f t="shared" ca="1" si="3"/>
        <v>567109</v>
      </c>
      <c r="AA26" s="26">
        <f t="shared" ca="1" si="6"/>
        <v>325</v>
      </c>
      <c r="AB26" s="41">
        <f t="shared" ca="1" si="6"/>
        <v>26860.18</v>
      </c>
      <c r="AC26" s="41">
        <f t="shared" ca="1" si="6"/>
        <v>15179.34</v>
      </c>
      <c r="AD26" s="59" t="str">
        <f t="shared" ca="1" si="7"/>
        <v/>
      </c>
      <c r="AE26" s="43" t="str">
        <f t="shared" ca="1" si="8"/>
        <v/>
      </c>
      <c r="AF26" s="44" t="str">
        <f t="shared" ca="1" si="9"/>
        <v/>
      </c>
      <c r="AG26">
        <f t="shared" ca="1" si="10"/>
        <v>0</v>
      </c>
      <c r="AH26">
        <v>150000</v>
      </c>
      <c r="AI26">
        <v>200000</v>
      </c>
      <c r="AJ26">
        <f t="shared" ca="1" si="11"/>
        <v>32476</v>
      </c>
      <c r="AK26" t="e">
        <f t="shared" ca="1" si="12"/>
        <v>#N/A</v>
      </c>
      <c r="AL26" t="e">
        <f t="shared" ca="1" si="13"/>
        <v>#N/A</v>
      </c>
    </row>
    <row r="27" spans="4:38" ht="18" x14ac:dyDescent="0.25">
      <c r="Q27">
        <v>12</v>
      </c>
      <c r="R27" t="e">
        <f>NA()</f>
        <v>#N/A</v>
      </c>
      <c r="S27" t="e">
        <f>NA()</f>
        <v>#N/A</v>
      </c>
      <c r="T27" s="28">
        <f ca="1">IF(ROWS($S$5:S27)&lt;=$T$2,ROWS($S$5:S27),"")</f>
        <v>23</v>
      </c>
      <c r="U27" s="26">
        <f t="array" aca="1" ref="U27" ca="1">MATCH(SMALL(IF(SaleNameRange=CALS!$C$2,MonthRange2),CALS!$T27),IF(SaleNameRange=CALS!$C$2,MonthRange2),0)+5</f>
        <v>32</v>
      </c>
      <c r="V27" s="42">
        <f t="shared" ca="1" si="5"/>
        <v>41579</v>
      </c>
      <c r="W27" s="26">
        <f t="shared" ca="1" si="5"/>
        <v>90440</v>
      </c>
      <c r="X27" s="26">
        <f t="shared" ca="1" si="5"/>
        <v>9660.56</v>
      </c>
      <c r="Y27" s="26">
        <f t="shared" ca="1" si="5"/>
        <v>200000</v>
      </c>
      <c r="Z27" s="26">
        <f t="shared" ca="1" si="3"/>
        <v>548990</v>
      </c>
      <c r="AA27" s="26">
        <f t="shared" ca="1" si="6"/>
        <v>904</v>
      </c>
      <c r="AB27" s="41">
        <f t="shared" ca="1" si="6"/>
        <v>18758.34</v>
      </c>
      <c r="AC27" s="41">
        <f t="shared" ca="1" si="6"/>
        <v>24564.559999999998</v>
      </c>
      <c r="AD27" s="59" t="str">
        <f t="shared" ca="1" si="7"/>
        <v>µ</v>
      </c>
      <c r="AE27" s="43" t="str">
        <f t="shared" ca="1" si="8"/>
        <v/>
      </c>
      <c r="AF27" s="44" t="str">
        <f t="shared" ca="1" si="9"/>
        <v/>
      </c>
      <c r="AG27">
        <f t="shared" ca="1" si="10"/>
        <v>0</v>
      </c>
      <c r="AH27">
        <v>150000</v>
      </c>
      <c r="AI27">
        <v>200000</v>
      </c>
      <c r="AJ27">
        <f t="shared" ca="1" si="11"/>
        <v>90440</v>
      </c>
      <c r="AK27" t="e">
        <f t="shared" ca="1" si="12"/>
        <v>#N/A</v>
      </c>
      <c r="AL27" t="e">
        <f t="shared" ca="1" si="13"/>
        <v>#N/A</v>
      </c>
    </row>
    <row r="28" spans="4:38" ht="18" x14ac:dyDescent="0.25">
      <c r="Q28">
        <v>13</v>
      </c>
      <c r="R28">
        <f ca="1">N11</f>
        <v>568856</v>
      </c>
      <c r="S28" s="24">
        <f ca="1">J22</f>
        <v>135719.46000000002</v>
      </c>
      <c r="T28" s="28">
        <f ca="1">IF(ROWS($S$5:S28)&lt;=$T$2,ROWS($S$5:S28),"")</f>
        <v>24</v>
      </c>
      <c r="U28" s="26">
        <f t="array" aca="1" ref="U28" ca="1">MATCH(SMALL(IF(SaleNameRange=CALS!$C$2,MonthRange2),CALS!$T28),IF(SaleNameRange=CALS!$C$2,MonthRange2),0)+5</f>
        <v>33</v>
      </c>
      <c r="V28" s="42">
        <f t="shared" ca="1" si="5"/>
        <v>41609</v>
      </c>
      <c r="W28" s="26">
        <f t="shared" ca="1" si="5"/>
        <v>76212</v>
      </c>
      <c r="X28" s="26">
        <f t="shared" ca="1" si="5"/>
        <v>7717.08</v>
      </c>
      <c r="Y28" s="26">
        <f t="shared" ca="1" si="5"/>
        <v>125000</v>
      </c>
      <c r="Z28" s="26">
        <f t="shared" ca="1" si="3"/>
        <v>467888</v>
      </c>
      <c r="AA28" s="26">
        <f t="shared" ca="1" si="6"/>
        <v>762</v>
      </c>
      <c r="AB28" s="41">
        <f t="shared" ca="1" si="6"/>
        <v>49422.559999999998</v>
      </c>
      <c r="AC28" s="41">
        <f t="shared" ca="1" si="6"/>
        <v>47479.08</v>
      </c>
      <c r="AD28" s="59" t="str">
        <f t="shared" ca="1" si="7"/>
        <v>µ</v>
      </c>
      <c r="AE28" s="43" t="str">
        <f t="shared" ca="1" si="8"/>
        <v>v</v>
      </c>
      <c r="AF28" s="44" t="str">
        <f t="shared" ca="1" si="9"/>
        <v>z</v>
      </c>
      <c r="AG28">
        <f t="shared" ca="1" si="10"/>
        <v>0</v>
      </c>
      <c r="AH28">
        <v>150000</v>
      </c>
      <c r="AI28">
        <v>200000</v>
      </c>
      <c r="AJ28">
        <f t="shared" ca="1" si="11"/>
        <v>76212</v>
      </c>
      <c r="AK28" t="e">
        <f t="shared" ca="1" si="12"/>
        <v>#N/A</v>
      </c>
      <c r="AL28" t="e">
        <f t="shared" ca="1" si="13"/>
        <v>#N/A</v>
      </c>
    </row>
    <row r="29" spans="4:38" ht="18" x14ac:dyDescent="0.25">
      <c r="Q29">
        <v>14</v>
      </c>
      <c r="R29" t="e">
        <f>NA()</f>
        <v>#N/A</v>
      </c>
      <c r="S29" t="e">
        <f>NA()</f>
        <v>#N/A</v>
      </c>
      <c r="T29" s="28" t="str">
        <f ca="1">IF(ROWS($S$5:S29)&lt;=$T$2,ROWS($S$5:S29),"")</f>
        <v/>
      </c>
      <c r="U29" s="26" t="e">
        <f t="array" aca="1" ref="U29" ca="1">MATCH(SMALL(IF(SaleNameRange=CALS!$C$2,MonthRange2),CALS!$T29),IF(SaleNameRange=CALS!$C$2,MonthRange2),0)+5</f>
        <v>#VALUE!</v>
      </c>
      <c r="V29" s="42" t="e">
        <f t="shared" ca="1" si="5"/>
        <v>#VALUE!</v>
      </c>
      <c r="W29" s="26" t="e">
        <f t="shared" ca="1" si="5"/>
        <v>#VALUE!</v>
      </c>
      <c r="X29" s="26" t="e">
        <f t="shared" ca="1" si="5"/>
        <v>#VALUE!</v>
      </c>
      <c r="Y29" s="26" t="e">
        <f t="shared" ca="1" si="5"/>
        <v>#VALUE!</v>
      </c>
      <c r="Z29" s="26" t="e">
        <f t="shared" ca="1" si="3"/>
        <v>#VALUE!</v>
      </c>
      <c r="AA29" s="26" t="e">
        <f t="shared" ca="1" si="6"/>
        <v>#VALUE!</v>
      </c>
      <c r="AB29" s="41" t="e">
        <f t="shared" ca="1" si="6"/>
        <v>#VALUE!</v>
      </c>
      <c r="AC29" s="41" t="e">
        <f t="shared" ca="1" si="6"/>
        <v>#VALUE!</v>
      </c>
      <c r="AD29" s="59" t="e">
        <f t="shared" ca="1" si="7"/>
        <v>#VALUE!</v>
      </c>
      <c r="AE29" s="43" t="e">
        <f t="shared" ca="1" si="8"/>
        <v>#VALUE!</v>
      </c>
      <c r="AF29" s="44" t="e">
        <f t="shared" ca="1" si="9"/>
        <v>#VALUE!</v>
      </c>
      <c r="AG29" t="e">
        <f t="shared" ca="1" si="10"/>
        <v>#VALUE!</v>
      </c>
      <c r="AH29">
        <v>150000</v>
      </c>
      <c r="AI29">
        <v>200000</v>
      </c>
      <c r="AJ29" t="e">
        <f t="shared" ca="1" si="11"/>
        <v>#VALUE!</v>
      </c>
      <c r="AK29" t="e">
        <f t="shared" ca="1" si="12"/>
        <v>#VALUE!</v>
      </c>
      <c r="AL29" t="e">
        <f t="shared" ca="1" si="13"/>
        <v>#VALUE!</v>
      </c>
    </row>
    <row r="30" spans="4:38" ht="18" x14ac:dyDescent="0.25">
      <c r="S30" s="24"/>
      <c r="T30" s="28" t="str">
        <f ca="1">IF(ROWS($S$5:S30)&lt;=$T$2,ROWS($S$5:S30),"")</f>
        <v/>
      </c>
      <c r="U30" s="26" t="e">
        <f t="array" aca="1" ref="U30" ca="1">MATCH(SMALL(IF(SaleNameRange=CALS!$C$2,MonthRange2),CALS!$T30),IF(SaleNameRange=CALS!$C$2,MonthRange2),0)+5</f>
        <v>#VALUE!</v>
      </c>
      <c r="V30" s="42" t="e">
        <f t="shared" ca="1" si="5"/>
        <v>#VALUE!</v>
      </c>
      <c r="W30" s="26" t="e">
        <f t="shared" ca="1" si="5"/>
        <v>#VALUE!</v>
      </c>
      <c r="X30" s="26" t="e">
        <f t="shared" ca="1" si="5"/>
        <v>#VALUE!</v>
      </c>
      <c r="Y30" s="26" t="e">
        <f t="shared" ca="1" si="5"/>
        <v>#VALUE!</v>
      </c>
      <c r="Z30" s="26" t="e">
        <f t="shared" ca="1" si="3"/>
        <v>#VALUE!</v>
      </c>
      <c r="AA30" s="26" t="e">
        <f t="shared" ca="1" si="6"/>
        <v>#VALUE!</v>
      </c>
      <c r="AB30" s="41" t="e">
        <f t="shared" ca="1" si="6"/>
        <v>#VALUE!</v>
      </c>
      <c r="AC30" s="41" t="e">
        <f t="shared" ca="1" si="6"/>
        <v>#VALUE!</v>
      </c>
      <c r="AD30" s="59" t="e">
        <f t="shared" ca="1" si="7"/>
        <v>#VALUE!</v>
      </c>
      <c r="AE30" s="43" t="e">
        <f t="shared" ca="1" si="8"/>
        <v>#VALUE!</v>
      </c>
      <c r="AF30" s="44" t="e">
        <f t="shared" ca="1" si="9"/>
        <v>#VALUE!</v>
      </c>
      <c r="AG30" t="e">
        <f t="shared" ca="1" si="10"/>
        <v>#VALUE!</v>
      </c>
      <c r="AH30">
        <v>150000</v>
      </c>
      <c r="AI30">
        <v>200000</v>
      </c>
      <c r="AJ30" t="e">
        <f t="shared" ca="1" si="11"/>
        <v>#VALUE!</v>
      </c>
      <c r="AK30" t="e">
        <f t="shared" ca="1" si="12"/>
        <v>#VALUE!</v>
      </c>
      <c r="AL30" t="e">
        <f t="shared" ca="1" si="13"/>
        <v>#VALUE!</v>
      </c>
    </row>
    <row r="31" spans="4:38" ht="18" x14ac:dyDescent="0.25">
      <c r="S31" s="24"/>
      <c r="T31" s="28" t="str">
        <f ca="1">IF(ROWS($S$5:S31)&lt;=$T$2,ROWS($S$5:S31),"")</f>
        <v/>
      </c>
      <c r="U31" s="26" t="e">
        <f t="array" aca="1" ref="U31" ca="1">MATCH(SMALL(IF(SaleNameRange=CALS!$C$2,MonthRange2),CALS!$T31),IF(SaleNameRange=CALS!$C$2,MonthRange2),0)+5</f>
        <v>#VALUE!</v>
      </c>
      <c r="V31" s="42" t="e">
        <f t="shared" ca="1" si="5"/>
        <v>#VALUE!</v>
      </c>
      <c r="W31" s="26" t="e">
        <f t="shared" ca="1" si="5"/>
        <v>#VALUE!</v>
      </c>
      <c r="X31" s="26" t="e">
        <f t="shared" ca="1" si="5"/>
        <v>#VALUE!</v>
      </c>
      <c r="Y31" s="26" t="e">
        <f t="shared" ca="1" si="5"/>
        <v>#VALUE!</v>
      </c>
      <c r="Z31" s="26" t="e">
        <f t="shared" ca="1" si="3"/>
        <v>#VALUE!</v>
      </c>
      <c r="AA31" s="26" t="e">
        <f t="shared" ca="1" si="6"/>
        <v>#VALUE!</v>
      </c>
      <c r="AB31" s="41" t="e">
        <f t="shared" ca="1" si="6"/>
        <v>#VALUE!</v>
      </c>
      <c r="AC31" s="41" t="e">
        <f t="shared" ca="1" si="6"/>
        <v>#VALUE!</v>
      </c>
      <c r="AD31" s="59" t="e">
        <f t="shared" ca="1" si="7"/>
        <v>#VALUE!</v>
      </c>
      <c r="AE31" s="43" t="e">
        <f t="shared" ca="1" si="8"/>
        <v>#VALUE!</v>
      </c>
      <c r="AF31" s="44" t="e">
        <f t="shared" ca="1" si="9"/>
        <v>#VALUE!</v>
      </c>
      <c r="AG31" t="e">
        <f t="shared" ca="1" si="10"/>
        <v>#VALUE!</v>
      </c>
      <c r="AH31">
        <v>150000</v>
      </c>
      <c r="AI31">
        <v>200000</v>
      </c>
      <c r="AJ31" t="e">
        <f t="shared" ca="1" si="11"/>
        <v>#VALUE!</v>
      </c>
      <c r="AK31" t="e">
        <f t="shared" ca="1" si="12"/>
        <v>#VALUE!</v>
      </c>
      <c r="AL31" t="e">
        <f t="shared" ca="1" si="13"/>
        <v>#VALUE!</v>
      </c>
    </row>
    <row r="32" spans="4:38" ht="18" x14ac:dyDescent="0.25">
      <c r="S32" s="24"/>
      <c r="T32" s="28" t="str">
        <f ca="1">IF(ROWS($S$5:S32)&lt;=$T$2,ROWS($S$5:S32),"")</f>
        <v/>
      </c>
      <c r="U32" s="26" t="e">
        <f t="array" aca="1" ref="U32" ca="1">MATCH(SMALL(IF(SaleNameRange=CALS!$C$2,MonthRange2),CALS!$T32),IF(SaleNameRange=CALS!$C$2,MonthRange2),0)+5</f>
        <v>#VALUE!</v>
      </c>
      <c r="V32" s="42" t="e">
        <f t="shared" ca="1" si="5"/>
        <v>#VALUE!</v>
      </c>
      <c r="W32" s="26" t="e">
        <f t="shared" ca="1" si="5"/>
        <v>#VALUE!</v>
      </c>
      <c r="X32" s="26" t="e">
        <f t="shared" ca="1" si="5"/>
        <v>#VALUE!</v>
      </c>
      <c r="Y32" s="26" t="e">
        <f t="shared" ca="1" si="5"/>
        <v>#VALUE!</v>
      </c>
      <c r="Z32" s="26" t="e">
        <f t="shared" ca="1" si="3"/>
        <v>#VALUE!</v>
      </c>
      <c r="AA32" s="26" t="e">
        <f t="shared" ca="1" si="6"/>
        <v>#VALUE!</v>
      </c>
      <c r="AB32" s="41" t="e">
        <f t="shared" ca="1" si="6"/>
        <v>#VALUE!</v>
      </c>
      <c r="AC32" s="41" t="e">
        <f t="shared" ca="1" si="6"/>
        <v>#VALUE!</v>
      </c>
      <c r="AD32" s="59" t="e">
        <f t="shared" ca="1" si="7"/>
        <v>#VALUE!</v>
      </c>
      <c r="AE32" s="43" t="e">
        <f t="shared" ca="1" si="8"/>
        <v>#VALUE!</v>
      </c>
      <c r="AF32" s="44" t="e">
        <f t="shared" ca="1" si="9"/>
        <v>#VALUE!</v>
      </c>
      <c r="AG32" t="e">
        <f t="shared" ca="1" si="10"/>
        <v>#VALUE!</v>
      </c>
      <c r="AH32">
        <v>150000</v>
      </c>
      <c r="AI32">
        <v>200000</v>
      </c>
      <c r="AJ32" t="e">
        <f t="shared" ca="1" si="11"/>
        <v>#VALUE!</v>
      </c>
      <c r="AK32" t="e">
        <f t="shared" ca="1" si="12"/>
        <v>#VALUE!</v>
      </c>
      <c r="AL32" t="e">
        <f t="shared" ca="1" si="13"/>
        <v>#VALUE!</v>
      </c>
    </row>
    <row r="33" spans="19:38" ht="18" x14ac:dyDescent="0.25">
      <c r="S33" s="24"/>
      <c r="T33" s="28" t="str">
        <f ca="1">IF(ROWS($S$5:S33)&lt;=$T$2,ROWS($S$5:S33),"")</f>
        <v/>
      </c>
      <c r="U33" s="26" t="e">
        <f t="array" aca="1" ref="U33" ca="1">MATCH(SMALL(IF(SaleNameRange=CALS!$C$2,MonthRange2),CALS!$T33),IF(SaleNameRange=CALS!$C$2,MonthRange2),0)+5</f>
        <v>#VALUE!</v>
      </c>
      <c r="V33" s="42" t="e">
        <f t="shared" ca="1" si="5"/>
        <v>#VALUE!</v>
      </c>
      <c r="W33" s="26" t="e">
        <f t="shared" ca="1" si="5"/>
        <v>#VALUE!</v>
      </c>
      <c r="X33" s="26" t="e">
        <f t="shared" ca="1" si="5"/>
        <v>#VALUE!</v>
      </c>
      <c r="Y33" s="26" t="e">
        <f t="shared" ca="1" si="5"/>
        <v>#VALUE!</v>
      </c>
      <c r="Z33" s="26" t="e">
        <f t="shared" ca="1" si="3"/>
        <v>#VALUE!</v>
      </c>
      <c r="AA33" s="26" t="e">
        <f t="shared" ca="1" si="6"/>
        <v>#VALUE!</v>
      </c>
      <c r="AB33" s="41" t="e">
        <f t="shared" ca="1" si="6"/>
        <v>#VALUE!</v>
      </c>
      <c r="AC33" s="41" t="e">
        <f t="shared" ca="1" si="6"/>
        <v>#VALUE!</v>
      </c>
      <c r="AD33" s="59" t="e">
        <f t="shared" ca="1" si="7"/>
        <v>#VALUE!</v>
      </c>
      <c r="AE33" s="43" t="e">
        <f t="shared" ca="1" si="8"/>
        <v>#VALUE!</v>
      </c>
      <c r="AF33" s="44" t="e">
        <f t="shared" ca="1" si="9"/>
        <v>#VALUE!</v>
      </c>
      <c r="AG33" t="e">
        <f t="shared" ca="1" si="10"/>
        <v>#VALUE!</v>
      </c>
      <c r="AH33">
        <v>150000</v>
      </c>
      <c r="AI33">
        <v>200000</v>
      </c>
      <c r="AJ33" t="e">
        <f t="shared" ca="1" si="11"/>
        <v>#VALUE!</v>
      </c>
      <c r="AK33" t="e">
        <f t="shared" ca="1" si="12"/>
        <v>#VALUE!</v>
      </c>
      <c r="AL33" t="e">
        <f t="shared" ca="1" si="13"/>
        <v>#VALUE!</v>
      </c>
    </row>
    <row r="34" spans="19:38" ht="18" x14ac:dyDescent="0.25">
      <c r="S34" s="24"/>
      <c r="T34" s="28" t="str">
        <f ca="1">IF(ROWS($S$5:S34)&lt;=$T$2,ROWS($S$5:S34),"")</f>
        <v/>
      </c>
      <c r="U34" s="26" t="e">
        <f t="array" aca="1" ref="U34" ca="1">MATCH(SMALL(IF(SaleNameRange=CALS!$C$2,MonthRange2),CALS!$T34),IF(SaleNameRange=CALS!$C$2,MonthRange2),0)+5</f>
        <v>#VALUE!</v>
      </c>
      <c r="V34" s="42" t="e">
        <f t="shared" ca="1" si="5"/>
        <v>#VALUE!</v>
      </c>
      <c r="W34" s="26" t="e">
        <f t="shared" ca="1" si="5"/>
        <v>#VALUE!</v>
      </c>
      <c r="X34" s="26" t="e">
        <f t="shared" ca="1" si="5"/>
        <v>#VALUE!</v>
      </c>
      <c r="Y34" s="26" t="e">
        <f t="shared" ca="1" si="5"/>
        <v>#VALUE!</v>
      </c>
      <c r="Z34" s="26" t="e">
        <f t="shared" ca="1" si="3"/>
        <v>#VALUE!</v>
      </c>
      <c r="AA34" s="26" t="e">
        <f t="shared" ca="1" si="6"/>
        <v>#VALUE!</v>
      </c>
      <c r="AB34" s="41" t="e">
        <f t="shared" ca="1" si="6"/>
        <v>#VALUE!</v>
      </c>
      <c r="AC34" s="41" t="e">
        <f t="shared" ca="1" si="6"/>
        <v>#VALUE!</v>
      </c>
      <c r="AD34" s="59" t="e">
        <f t="shared" ca="1" si="7"/>
        <v>#VALUE!</v>
      </c>
      <c r="AE34" s="43" t="e">
        <f t="shared" ca="1" si="8"/>
        <v>#VALUE!</v>
      </c>
      <c r="AF34" s="44" t="e">
        <f t="shared" ca="1" si="9"/>
        <v>#VALUE!</v>
      </c>
      <c r="AG34" t="e">
        <f t="shared" ca="1" si="10"/>
        <v>#VALUE!</v>
      </c>
      <c r="AH34">
        <v>150000</v>
      </c>
      <c r="AI34">
        <v>200000</v>
      </c>
      <c r="AJ34" t="e">
        <f t="shared" ca="1" si="11"/>
        <v>#VALUE!</v>
      </c>
      <c r="AK34" t="e">
        <f t="shared" ca="1" si="12"/>
        <v>#VALUE!</v>
      </c>
      <c r="AL34" t="e">
        <f t="shared" ca="1" si="13"/>
        <v>#VALUE!</v>
      </c>
    </row>
    <row r="35" spans="19:38" ht="18" x14ac:dyDescent="0.25">
      <c r="S35" s="24"/>
      <c r="T35" s="28" t="str">
        <f ca="1">IF(ROWS($S$5:S35)&lt;=$T$2,ROWS($S$5:S35),"")</f>
        <v/>
      </c>
      <c r="U35" s="26" t="e">
        <f t="array" aca="1" ref="U35" ca="1">MATCH(SMALL(IF(SaleNameRange=CALS!$C$2,MonthRange2),CALS!$T35),IF(SaleNameRange=CALS!$C$2,MonthRange2),0)+5</f>
        <v>#VALUE!</v>
      </c>
      <c r="V35" s="42" t="e">
        <f t="shared" ca="1" si="5"/>
        <v>#VALUE!</v>
      </c>
      <c r="W35" s="26" t="e">
        <f t="shared" ca="1" si="5"/>
        <v>#VALUE!</v>
      </c>
      <c r="X35" s="26" t="e">
        <f t="shared" ca="1" si="5"/>
        <v>#VALUE!</v>
      </c>
      <c r="Y35" s="26" t="e">
        <f t="shared" ca="1" si="5"/>
        <v>#VALUE!</v>
      </c>
      <c r="Z35" s="26" t="e">
        <f t="shared" ca="1" si="3"/>
        <v>#VALUE!</v>
      </c>
      <c r="AA35" s="26" t="e">
        <f t="shared" ca="1" si="6"/>
        <v>#VALUE!</v>
      </c>
      <c r="AB35" s="41" t="e">
        <f t="shared" ca="1" si="6"/>
        <v>#VALUE!</v>
      </c>
      <c r="AC35" s="41" t="e">
        <f t="shared" ca="1" si="6"/>
        <v>#VALUE!</v>
      </c>
      <c r="AD35" s="59" t="e">
        <f t="shared" ca="1" si="7"/>
        <v>#VALUE!</v>
      </c>
      <c r="AE35" s="43" t="e">
        <f t="shared" ca="1" si="8"/>
        <v>#VALUE!</v>
      </c>
      <c r="AF35" s="44" t="e">
        <f t="shared" ca="1" si="9"/>
        <v>#VALUE!</v>
      </c>
      <c r="AG35" t="e">
        <f t="shared" ca="1" si="10"/>
        <v>#VALUE!</v>
      </c>
      <c r="AH35">
        <v>150000</v>
      </c>
      <c r="AI35">
        <v>200000</v>
      </c>
      <c r="AJ35" t="e">
        <f t="shared" ca="1" si="11"/>
        <v>#VALUE!</v>
      </c>
      <c r="AK35" t="e">
        <f t="shared" ca="1" si="12"/>
        <v>#VALUE!</v>
      </c>
      <c r="AL35" t="e">
        <f t="shared" ca="1" si="13"/>
        <v>#VALUE!</v>
      </c>
    </row>
    <row r="36" spans="19:38" ht="18" x14ac:dyDescent="0.25">
      <c r="S36" s="24"/>
      <c r="T36" s="28" t="str">
        <f ca="1">IF(ROWS($S$5:S36)&lt;=$T$2,ROWS($S$5:S36),"")</f>
        <v/>
      </c>
      <c r="U36" s="26" t="e">
        <f t="array" aca="1" ref="U36" ca="1">MATCH(SMALL(IF(SaleNameRange=CALS!$C$2,MonthRange2),CALS!$T36),IF(SaleNameRange=CALS!$C$2,MonthRange2),0)+5</f>
        <v>#VALUE!</v>
      </c>
      <c r="V36" s="42" t="e">
        <f t="shared" ca="1" si="5"/>
        <v>#VALUE!</v>
      </c>
      <c r="W36" s="26" t="e">
        <f t="shared" ca="1" si="5"/>
        <v>#VALUE!</v>
      </c>
      <c r="X36" s="26" t="e">
        <f t="shared" ca="1" si="5"/>
        <v>#VALUE!</v>
      </c>
      <c r="Y36" s="26" t="e">
        <f t="shared" ca="1" si="5"/>
        <v>#VALUE!</v>
      </c>
      <c r="Z36" s="26" t="e">
        <f t="shared" ca="1" si="3"/>
        <v>#VALUE!</v>
      </c>
      <c r="AA36" s="26" t="e">
        <f t="shared" ca="1" si="6"/>
        <v>#VALUE!</v>
      </c>
      <c r="AB36" s="41" t="e">
        <f t="shared" ca="1" si="6"/>
        <v>#VALUE!</v>
      </c>
      <c r="AC36" s="41" t="e">
        <f t="shared" ca="1" si="6"/>
        <v>#VALUE!</v>
      </c>
      <c r="AD36" s="59" t="e">
        <f t="shared" ca="1" si="7"/>
        <v>#VALUE!</v>
      </c>
      <c r="AE36" s="43" t="e">
        <f t="shared" ca="1" si="8"/>
        <v>#VALUE!</v>
      </c>
      <c r="AF36" s="44" t="e">
        <f t="shared" ca="1" si="9"/>
        <v>#VALUE!</v>
      </c>
      <c r="AG36" t="e">
        <f t="shared" ca="1" si="10"/>
        <v>#VALUE!</v>
      </c>
      <c r="AH36">
        <v>150000</v>
      </c>
      <c r="AI36">
        <v>200000</v>
      </c>
      <c r="AJ36" t="e">
        <f t="shared" ca="1" si="11"/>
        <v>#VALUE!</v>
      </c>
      <c r="AK36" t="e">
        <f t="shared" ca="1" si="12"/>
        <v>#VALUE!</v>
      </c>
      <c r="AL36" t="e">
        <f t="shared" ca="1" si="13"/>
        <v>#VALUE!</v>
      </c>
    </row>
    <row r="37" spans="19:38" ht="18" x14ac:dyDescent="0.25">
      <c r="S37" s="24"/>
      <c r="T37" s="28" t="str">
        <f ca="1">IF(ROWS($S$5:S37)&lt;=$T$2,ROWS($S$5:S37),"")</f>
        <v/>
      </c>
      <c r="U37" s="26" t="e">
        <f t="array" aca="1" ref="U37" ca="1">MATCH(SMALL(IF(SaleNameRange=CALS!$C$2,MonthRange2),CALS!$T37),IF(SaleNameRange=CALS!$C$2,MonthRange2),0)+5</f>
        <v>#VALUE!</v>
      </c>
      <c r="V37" s="42" t="e">
        <f t="shared" ca="1" si="5"/>
        <v>#VALUE!</v>
      </c>
      <c r="W37" s="26" t="e">
        <f t="shared" ca="1" si="5"/>
        <v>#VALUE!</v>
      </c>
      <c r="X37" s="26" t="e">
        <f t="shared" ca="1" si="5"/>
        <v>#VALUE!</v>
      </c>
      <c r="Y37" s="26" t="e">
        <f t="shared" ca="1" si="5"/>
        <v>#VALUE!</v>
      </c>
      <c r="Z37" s="26" t="e">
        <f t="shared" ref="Z37:Z54" ca="1" si="18">INDIRECT("'TopSale'!$"&amp;$Z$1&amp;MATCH($V37,TopSaleRange,0)+4)</f>
        <v>#VALUE!</v>
      </c>
      <c r="AA37" s="26" t="e">
        <f t="shared" ca="1" si="6"/>
        <v>#VALUE!</v>
      </c>
      <c r="AB37" s="41" t="e">
        <f t="shared" ca="1" si="6"/>
        <v>#VALUE!</v>
      </c>
      <c r="AC37" s="41" t="e">
        <f t="shared" ca="1" si="6"/>
        <v>#VALUE!</v>
      </c>
      <c r="AD37" s="59" t="e">
        <f t="shared" ca="1" si="7"/>
        <v>#VALUE!</v>
      </c>
      <c r="AE37" s="43" t="e">
        <f t="shared" ca="1" si="8"/>
        <v>#VALUE!</v>
      </c>
      <c r="AF37" s="44" t="e">
        <f t="shared" ca="1" si="9"/>
        <v>#VALUE!</v>
      </c>
      <c r="AG37" t="e">
        <f t="shared" ca="1" si="10"/>
        <v>#VALUE!</v>
      </c>
      <c r="AH37">
        <v>150000</v>
      </c>
      <c r="AI37">
        <v>200000</v>
      </c>
      <c r="AJ37" t="e">
        <f t="shared" ca="1" si="11"/>
        <v>#VALUE!</v>
      </c>
      <c r="AK37" t="e">
        <f t="shared" ca="1" si="12"/>
        <v>#VALUE!</v>
      </c>
      <c r="AL37" t="e">
        <f t="shared" ca="1" si="13"/>
        <v>#VALUE!</v>
      </c>
    </row>
    <row r="38" spans="19:38" ht="18" x14ac:dyDescent="0.25">
      <c r="S38" s="24"/>
      <c r="T38" s="28" t="str">
        <f ca="1">IF(ROWS($S$5:S38)&lt;=$T$2,ROWS($S$5:S38),"")</f>
        <v/>
      </c>
      <c r="U38" s="26" t="e">
        <f t="array" aca="1" ref="U38" ca="1">MATCH(SMALL(IF(SaleNameRange=CALS!$C$2,MonthRange2),CALS!$T38),IF(SaleNameRange=CALS!$C$2,MonthRange2),0)+5</f>
        <v>#VALUE!</v>
      </c>
      <c r="V38" s="42" t="e">
        <f t="shared" ca="1" si="5"/>
        <v>#VALUE!</v>
      </c>
      <c r="W38" s="26" t="e">
        <f t="shared" ca="1" si="5"/>
        <v>#VALUE!</v>
      </c>
      <c r="X38" s="26" t="e">
        <f t="shared" ca="1" si="5"/>
        <v>#VALUE!</v>
      </c>
      <c r="Y38" s="26" t="e">
        <f t="shared" ca="1" si="5"/>
        <v>#VALUE!</v>
      </c>
      <c r="Z38" s="26" t="e">
        <f t="shared" ca="1" si="18"/>
        <v>#VALUE!</v>
      </c>
      <c r="AA38" s="26" t="e">
        <f t="shared" ca="1" si="6"/>
        <v>#VALUE!</v>
      </c>
      <c r="AB38" s="41" t="e">
        <f t="shared" ca="1" si="6"/>
        <v>#VALUE!</v>
      </c>
      <c r="AC38" s="41" t="e">
        <f t="shared" ca="1" si="6"/>
        <v>#VALUE!</v>
      </c>
      <c r="AD38" s="59" t="e">
        <f t="shared" ca="1" si="7"/>
        <v>#VALUE!</v>
      </c>
      <c r="AE38" s="43" t="e">
        <f t="shared" ca="1" si="8"/>
        <v>#VALUE!</v>
      </c>
      <c r="AF38" s="44" t="e">
        <f t="shared" ca="1" si="9"/>
        <v>#VALUE!</v>
      </c>
      <c r="AG38" t="e">
        <f t="shared" ca="1" si="10"/>
        <v>#VALUE!</v>
      </c>
      <c r="AH38">
        <v>150000</v>
      </c>
      <c r="AI38">
        <v>200000</v>
      </c>
      <c r="AJ38" t="e">
        <f t="shared" ca="1" si="11"/>
        <v>#VALUE!</v>
      </c>
      <c r="AK38" t="e">
        <f t="shared" ca="1" si="12"/>
        <v>#VALUE!</v>
      </c>
      <c r="AL38" t="e">
        <f t="shared" ca="1" si="13"/>
        <v>#VALUE!</v>
      </c>
    </row>
    <row r="39" spans="19:38" ht="18" x14ac:dyDescent="0.25">
      <c r="S39" s="24"/>
      <c r="T39" s="28" t="str">
        <f ca="1">IF(ROWS($S$5:S39)&lt;=$T$2,ROWS($S$5:S39),"")</f>
        <v/>
      </c>
      <c r="U39" s="26" t="e">
        <f t="array" aca="1" ref="U39" ca="1">MATCH(SMALL(IF(SaleNameRange=CALS!$C$2,MonthRange2),CALS!$T39),IF(SaleNameRange=CALS!$C$2,MonthRange2),0)+5</f>
        <v>#VALUE!</v>
      </c>
      <c r="V39" s="42" t="e">
        <f t="shared" ca="1" si="5"/>
        <v>#VALUE!</v>
      </c>
      <c r="W39" s="26" t="e">
        <f t="shared" ca="1" si="5"/>
        <v>#VALUE!</v>
      </c>
      <c r="X39" s="26" t="e">
        <f t="shared" ca="1" si="5"/>
        <v>#VALUE!</v>
      </c>
      <c r="Y39" s="26" t="e">
        <f t="shared" ca="1" si="5"/>
        <v>#VALUE!</v>
      </c>
      <c r="Z39" s="26" t="e">
        <f t="shared" ca="1" si="18"/>
        <v>#VALUE!</v>
      </c>
      <c r="AA39" s="26" t="e">
        <f t="shared" ca="1" si="6"/>
        <v>#VALUE!</v>
      </c>
      <c r="AB39" s="41" t="e">
        <f t="shared" ca="1" si="6"/>
        <v>#VALUE!</v>
      </c>
      <c r="AC39" s="41" t="e">
        <f t="shared" ca="1" si="6"/>
        <v>#VALUE!</v>
      </c>
      <c r="AD39" s="59" t="e">
        <f t="shared" ca="1" si="7"/>
        <v>#VALUE!</v>
      </c>
      <c r="AE39" s="43" t="e">
        <f t="shared" ca="1" si="8"/>
        <v>#VALUE!</v>
      </c>
      <c r="AF39" s="44" t="e">
        <f t="shared" ca="1" si="9"/>
        <v>#VALUE!</v>
      </c>
      <c r="AG39" t="e">
        <f t="shared" ca="1" si="10"/>
        <v>#VALUE!</v>
      </c>
      <c r="AH39">
        <v>150000</v>
      </c>
      <c r="AI39">
        <v>200000</v>
      </c>
      <c r="AJ39" t="e">
        <f t="shared" ca="1" si="11"/>
        <v>#VALUE!</v>
      </c>
      <c r="AK39" t="e">
        <f t="shared" ca="1" si="12"/>
        <v>#VALUE!</v>
      </c>
      <c r="AL39" t="e">
        <f t="shared" ca="1" si="13"/>
        <v>#VALUE!</v>
      </c>
    </row>
    <row r="40" spans="19:38" ht="18" x14ac:dyDescent="0.25">
      <c r="S40" s="24"/>
      <c r="T40" s="28" t="str">
        <f ca="1">IF(ROWS($S$5:S40)&lt;=$T$2,ROWS($S$5:S40),"")</f>
        <v/>
      </c>
      <c r="U40" s="26" t="e">
        <f t="array" aca="1" ref="U40" ca="1">MATCH(SMALL(IF(SaleNameRange=CALS!$C$2,MonthRange2),CALS!$T40),IF(SaleNameRange=CALS!$C$2,MonthRange2),0)+5</f>
        <v>#VALUE!</v>
      </c>
      <c r="V40" s="42" t="e">
        <f t="shared" ca="1" si="5"/>
        <v>#VALUE!</v>
      </c>
      <c r="W40" s="26" t="e">
        <f t="shared" ca="1" si="5"/>
        <v>#VALUE!</v>
      </c>
      <c r="X40" s="26" t="e">
        <f t="shared" ca="1" si="5"/>
        <v>#VALUE!</v>
      </c>
      <c r="Y40" s="26" t="e">
        <f t="shared" ca="1" si="5"/>
        <v>#VALUE!</v>
      </c>
      <c r="Z40" s="26" t="e">
        <f t="shared" ca="1" si="18"/>
        <v>#VALUE!</v>
      </c>
      <c r="AA40" s="26" t="e">
        <f t="shared" ca="1" si="6"/>
        <v>#VALUE!</v>
      </c>
      <c r="AB40" s="41" t="e">
        <f t="shared" ca="1" si="6"/>
        <v>#VALUE!</v>
      </c>
      <c r="AC40" s="41" t="e">
        <f t="shared" ca="1" si="6"/>
        <v>#VALUE!</v>
      </c>
      <c r="AD40" s="59" t="e">
        <f t="shared" ca="1" si="7"/>
        <v>#VALUE!</v>
      </c>
      <c r="AE40" s="43" t="e">
        <f t="shared" ca="1" si="8"/>
        <v>#VALUE!</v>
      </c>
      <c r="AF40" s="44" t="e">
        <f t="shared" ca="1" si="9"/>
        <v>#VALUE!</v>
      </c>
      <c r="AG40" t="e">
        <f t="shared" ca="1" si="10"/>
        <v>#VALUE!</v>
      </c>
      <c r="AH40">
        <v>150000</v>
      </c>
      <c r="AI40">
        <v>200000</v>
      </c>
      <c r="AJ40" t="e">
        <f t="shared" ca="1" si="11"/>
        <v>#VALUE!</v>
      </c>
      <c r="AK40" t="e">
        <f t="shared" ca="1" si="12"/>
        <v>#VALUE!</v>
      </c>
      <c r="AL40" t="e">
        <f t="shared" ca="1" si="13"/>
        <v>#VALUE!</v>
      </c>
    </row>
    <row r="41" spans="19:38" ht="18" x14ac:dyDescent="0.25">
      <c r="S41" s="24"/>
      <c r="T41" s="28" t="str">
        <f ca="1">IF(ROWS($S$5:S41)&lt;=$T$2,ROWS($S$5:S41),"")</f>
        <v/>
      </c>
      <c r="U41" s="26" t="e">
        <f t="array" aca="1" ref="U41" ca="1">MATCH(SMALL(IF(SaleNameRange=CALS!$C$2,MonthRange2),CALS!$T41),IF(SaleNameRange=CALS!$C$2,MonthRange2),0)+5</f>
        <v>#VALUE!</v>
      </c>
      <c r="V41" s="42" t="e">
        <f t="shared" ca="1" si="5"/>
        <v>#VALUE!</v>
      </c>
      <c r="W41" s="26" t="e">
        <f t="shared" ca="1" si="5"/>
        <v>#VALUE!</v>
      </c>
      <c r="X41" s="26" t="e">
        <f t="shared" ca="1" si="5"/>
        <v>#VALUE!</v>
      </c>
      <c r="Y41" s="26" t="e">
        <f t="shared" ca="1" si="5"/>
        <v>#VALUE!</v>
      </c>
      <c r="Z41" s="26" t="e">
        <f t="shared" ca="1" si="18"/>
        <v>#VALUE!</v>
      </c>
      <c r="AA41" s="26" t="e">
        <f t="shared" ca="1" si="6"/>
        <v>#VALUE!</v>
      </c>
      <c r="AB41" s="41" t="e">
        <f t="shared" ca="1" si="6"/>
        <v>#VALUE!</v>
      </c>
      <c r="AC41" s="41" t="e">
        <f t="shared" ca="1" si="6"/>
        <v>#VALUE!</v>
      </c>
      <c r="AD41" s="59" t="e">
        <f t="shared" ca="1" si="7"/>
        <v>#VALUE!</v>
      </c>
      <c r="AE41" s="43" t="e">
        <f t="shared" ca="1" si="8"/>
        <v>#VALUE!</v>
      </c>
      <c r="AF41" s="44" t="e">
        <f t="shared" ca="1" si="9"/>
        <v>#VALUE!</v>
      </c>
      <c r="AG41" t="e">
        <f t="shared" ca="1" si="10"/>
        <v>#VALUE!</v>
      </c>
      <c r="AH41">
        <v>150000</v>
      </c>
      <c r="AI41">
        <v>200000</v>
      </c>
      <c r="AJ41" t="e">
        <f t="shared" ca="1" si="11"/>
        <v>#VALUE!</v>
      </c>
      <c r="AK41" t="e">
        <f t="shared" ca="1" si="12"/>
        <v>#VALUE!</v>
      </c>
      <c r="AL41" t="e">
        <f t="shared" ca="1" si="13"/>
        <v>#VALUE!</v>
      </c>
    </row>
    <row r="42" spans="19:38" ht="18" x14ac:dyDescent="0.25">
      <c r="S42" s="24"/>
      <c r="T42" s="28" t="str">
        <f ca="1">IF(ROWS($S$5:S42)&lt;=$T$2,ROWS($S$5:S42),"")</f>
        <v/>
      </c>
      <c r="U42" s="26" t="e">
        <f t="array" aca="1" ref="U42" ca="1">MATCH(SMALL(IF(SaleNameRange=CALS!$C$2,MonthRange2),CALS!$T42),IF(SaleNameRange=CALS!$C$2,MonthRange2),0)+5</f>
        <v>#VALUE!</v>
      </c>
      <c r="V42" s="42" t="e">
        <f t="shared" ca="1" si="5"/>
        <v>#VALUE!</v>
      </c>
      <c r="W42" s="26" t="e">
        <f t="shared" ca="1" si="5"/>
        <v>#VALUE!</v>
      </c>
      <c r="X42" s="26" t="e">
        <f t="shared" ca="1" si="5"/>
        <v>#VALUE!</v>
      </c>
      <c r="Y42" s="26" t="e">
        <f t="shared" ca="1" si="5"/>
        <v>#VALUE!</v>
      </c>
      <c r="Z42" s="26" t="e">
        <f t="shared" ca="1" si="18"/>
        <v>#VALUE!</v>
      </c>
      <c r="AA42" s="26" t="e">
        <f t="shared" ca="1" si="6"/>
        <v>#VALUE!</v>
      </c>
      <c r="AB42" s="41" t="e">
        <f t="shared" ca="1" si="6"/>
        <v>#VALUE!</v>
      </c>
      <c r="AC42" s="41" t="e">
        <f t="shared" ca="1" si="6"/>
        <v>#VALUE!</v>
      </c>
      <c r="AD42" s="59" t="e">
        <f t="shared" ca="1" si="7"/>
        <v>#VALUE!</v>
      </c>
      <c r="AE42" s="43" t="e">
        <f t="shared" ca="1" si="8"/>
        <v>#VALUE!</v>
      </c>
      <c r="AF42" s="44" t="e">
        <f t="shared" ca="1" si="9"/>
        <v>#VALUE!</v>
      </c>
      <c r="AG42" t="e">
        <f t="shared" ca="1" si="10"/>
        <v>#VALUE!</v>
      </c>
      <c r="AH42">
        <v>150000</v>
      </c>
      <c r="AI42">
        <v>200000</v>
      </c>
      <c r="AJ42" t="e">
        <f t="shared" ca="1" si="11"/>
        <v>#VALUE!</v>
      </c>
      <c r="AK42" t="e">
        <f t="shared" ca="1" si="12"/>
        <v>#VALUE!</v>
      </c>
      <c r="AL42" t="e">
        <f t="shared" ca="1" si="13"/>
        <v>#VALUE!</v>
      </c>
    </row>
    <row r="43" spans="19:38" ht="18" x14ac:dyDescent="0.25">
      <c r="S43" s="24"/>
      <c r="T43" s="28" t="str">
        <f ca="1">IF(ROWS($S$5:S43)&lt;=$T$2,ROWS($S$5:S43),"")</f>
        <v/>
      </c>
      <c r="U43" s="26" t="e">
        <f t="array" aca="1" ref="U43" ca="1">MATCH(SMALL(IF(SaleNameRange=CALS!$C$2,MonthRange2),CALS!$T43),IF(SaleNameRange=CALS!$C$2,MonthRange2),0)+5</f>
        <v>#VALUE!</v>
      </c>
      <c r="V43" s="42" t="e">
        <f t="shared" ca="1" si="5"/>
        <v>#VALUE!</v>
      </c>
      <c r="W43" s="26" t="e">
        <f t="shared" ca="1" si="5"/>
        <v>#VALUE!</v>
      </c>
      <c r="X43" s="26" t="e">
        <f t="shared" ca="1" si="5"/>
        <v>#VALUE!</v>
      </c>
      <c r="Y43" s="26" t="e">
        <f t="shared" ca="1" si="5"/>
        <v>#VALUE!</v>
      </c>
      <c r="Z43" s="26" t="e">
        <f t="shared" ca="1" si="18"/>
        <v>#VALUE!</v>
      </c>
      <c r="AA43" s="26" t="e">
        <f t="shared" ca="1" si="6"/>
        <v>#VALUE!</v>
      </c>
      <c r="AB43" s="41" t="e">
        <f t="shared" ca="1" si="6"/>
        <v>#VALUE!</v>
      </c>
      <c r="AC43" s="41" t="e">
        <f t="shared" ca="1" si="6"/>
        <v>#VALUE!</v>
      </c>
      <c r="AD43" s="59" t="e">
        <f t="shared" ca="1" si="7"/>
        <v>#VALUE!</v>
      </c>
      <c r="AE43" s="43" t="e">
        <f t="shared" ca="1" si="8"/>
        <v>#VALUE!</v>
      </c>
      <c r="AF43" s="44" t="e">
        <f t="shared" ca="1" si="9"/>
        <v>#VALUE!</v>
      </c>
      <c r="AG43" t="e">
        <f t="shared" ca="1" si="10"/>
        <v>#VALUE!</v>
      </c>
      <c r="AH43">
        <v>150000</v>
      </c>
      <c r="AI43">
        <v>200000</v>
      </c>
      <c r="AJ43" t="e">
        <f t="shared" ca="1" si="11"/>
        <v>#VALUE!</v>
      </c>
      <c r="AK43" t="e">
        <f t="shared" ca="1" si="12"/>
        <v>#VALUE!</v>
      </c>
      <c r="AL43" t="e">
        <f t="shared" ca="1" si="13"/>
        <v>#VALUE!</v>
      </c>
    </row>
    <row r="44" spans="19:38" ht="18" x14ac:dyDescent="0.25">
      <c r="S44" s="24"/>
      <c r="T44" s="28" t="str">
        <f ca="1">IF(ROWS($S$5:S44)&lt;=$T$2,ROWS($S$5:S44),"")</f>
        <v/>
      </c>
      <c r="U44" s="26" t="e">
        <f t="array" aca="1" ref="U44" ca="1">MATCH(SMALL(IF(SaleNameRange=CALS!$C$2,MonthRange2),CALS!$T44),IF(SaleNameRange=CALS!$C$2,MonthRange2),0)+5</f>
        <v>#VALUE!</v>
      </c>
      <c r="V44" s="42" t="e">
        <f t="shared" ca="1" si="5"/>
        <v>#VALUE!</v>
      </c>
      <c r="W44" s="26" t="e">
        <f t="shared" ca="1" si="5"/>
        <v>#VALUE!</v>
      </c>
      <c r="X44" s="26" t="e">
        <f t="shared" ca="1" si="5"/>
        <v>#VALUE!</v>
      </c>
      <c r="Y44" s="26" t="e">
        <f t="shared" ca="1" si="5"/>
        <v>#VALUE!</v>
      </c>
      <c r="Z44" s="26" t="e">
        <f t="shared" ca="1" si="18"/>
        <v>#VALUE!</v>
      </c>
      <c r="AA44" s="26" t="e">
        <f t="shared" ca="1" si="6"/>
        <v>#VALUE!</v>
      </c>
      <c r="AB44" s="41" t="e">
        <f t="shared" ca="1" si="6"/>
        <v>#VALUE!</v>
      </c>
      <c r="AC44" s="41" t="e">
        <f t="shared" ca="1" si="6"/>
        <v>#VALUE!</v>
      </c>
      <c r="AD44" s="59" t="e">
        <f t="shared" ca="1" si="7"/>
        <v>#VALUE!</v>
      </c>
      <c r="AE44" s="43" t="e">
        <f t="shared" ca="1" si="8"/>
        <v>#VALUE!</v>
      </c>
      <c r="AF44" s="44" t="e">
        <f t="shared" ca="1" si="9"/>
        <v>#VALUE!</v>
      </c>
      <c r="AG44" t="e">
        <f t="shared" ca="1" si="10"/>
        <v>#VALUE!</v>
      </c>
      <c r="AH44">
        <v>150000</v>
      </c>
      <c r="AI44">
        <v>200000</v>
      </c>
      <c r="AJ44" t="e">
        <f t="shared" ca="1" si="11"/>
        <v>#VALUE!</v>
      </c>
      <c r="AK44" t="e">
        <f t="shared" ca="1" si="12"/>
        <v>#VALUE!</v>
      </c>
      <c r="AL44" t="e">
        <f t="shared" ca="1" si="13"/>
        <v>#VALUE!</v>
      </c>
    </row>
    <row r="45" spans="19:38" ht="18" x14ac:dyDescent="0.25">
      <c r="S45" s="24"/>
      <c r="T45" s="28" t="str">
        <f ca="1">IF(ROWS($S$5:S45)&lt;=$T$2,ROWS($S$5:S45),"")</f>
        <v/>
      </c>
      <c r="U45" s="26" t="e">
        <f t="array" aca="1" ref="U45" ca="1">MATCH(SMALL(IF(SaleNameRange=CALS!$C$2,MonthRange2),CALS!$T45),IF(SaleNameRange=CALS!$C$2,MonthRange2),0)+5</f>
        <v>#VALUE!</v>
      </c>
      <c r="V45" s="42" t="e">
        <f t="shared" ca="1" si="5"/>
        <v>#VALUE!</v>
      </c>
      <c r="W45" s="26" t="e">
        <f t="shared" ca="1" si="5"/>
        <v>#VALUE!</v>
      </c>
      <c r="X45" s="26" t="e">
        <f t="shared" ca="1" si="5"/>
        <v>#VALUE!</v>
      </c>
      <c r="Y45" s="26" t="e">
        <f t="shared" ca="1" si="5"/>
        <v>#VALUE!</v>
      </c>
      <c r="Z45" s="26" t="e">
        <f t="shared" ca="1" si="18"/>
        <v>#VALUE!</v>
      </c>
      <c r="AA45" s="26" t="e">
        <f t="shared" ca="1" si="6"/>
        <v>#VALUE!</v>
      </c>
      <c r="AB45" s="41" t="e">
        <f t="shared" ca="1" si="6"/>
        <v>#VALUE!</v>
      </c>
      <c r="AC45" s="41" t="e">
        <f t="shared" ca="1" si="6"/>
        <v>#VALUE!</v>
      </c>
      <c r="AD45" s="59" t="e">
        <f t="shared" ca="1" si="7"/>
        <v>#VALUE!</v>
      </c>
      <c r="AE45" s="43" t="e">
        <f t="shared" ca="1" si="8"/>
        <v>#VALUE!</v>
      </c>
      <c r="AF45" s="44" t="e">
        <f t="shared" ca="1" si="9"/>
        <v>#VALUE!</v>
      </c>
      <c r="AG45" t="e">
        <f t="shared" ca="1" si="10"/>
        <v>#VALUE!</v>
      </c>
      <c r="AH45">
        <v>150000</v>
      </c>
      <c r="AI45">
        <v>200000</v>
      </c>
      <c r="AJ45" t="e">
        <f t="shared" ca="1" si="11"/>
        <v>#VALUE!</v>
      </c>
      <c r="AK45" t="e">
        <f t="shared" ca="1" si="12"/>
        <v>#VALUE!</v>
      </c>
      <c r="AL45" t="e">
        <f t="shared" ca="1" si="13"/>
        <v>#VALUE!</v>
      </c>
    </row>
    <row r="46" spans="19:38" ht="18" x14ac:dyDescent="0.25">
      <c r="S46" s="24"/>
      <c r="T46" s="28" t="str">
        <f ca="1">IF(ROWS($S$5:S46)&lt;=$T$2,ROWS($S$5:S46),"")</f>
        <v/>
      </c>
      <c r="U46" s="26" t="e">
        <f t="array" aca="1" ref="U46" ca="1">MATCH(SMALL(IF(SaleNameRange=CALS!$C$2,MonthRange2),CALS!$T46),IF(SaleNameRange=CALS!$C$2,MonthRange2),0)+5</f>
        <v>#VALUE!</v>
      </c>
      <c r="V46" s="42" t="e">
        <f t="shared" ca="1" si="5"/>
        <v>#VALUE!</v>
      </c>
      <c r="W46" s="26" t="e">
        <f t="shared" ca="1" si="5"/>
        <v>#VALUE!</v>
      </c>
      <c r="X46" s="26" t="e">
        <f t="shared" ca="1" si="5"/>
        <v>#VALUE!</v>
      </c>
      <c r="Y46" s="26" t="e">
        <f t="shared" ca="1" si="5"/>
        <v>#VALUE!</v>
      </c>
      <c r="Z46" s="26" t="e">
        <f t="shared" ca="1" si="18"/>
        <v>#VALUE!</v>
      </c>
      <c r="AA46" s="26" t="e">
        <f t="shared" ca="1" si="6"/>
        <v>#VALUE!</v>
      </c>
      <c r="AB46" s="41" t="e">
        <f t="shared" ca="1" si="6"/>
        <v>#VALUE!</v>
      </c>
      <c r="AC46" s="41" t="e">
        <f t="shared" ca="1" si="6"/>
        <v>#VALUE!</v>
      </c>
      <c r="AD46" s="59" t="e">
        <f t="shared" ca="1" si="7"/>
        <v>#VALUE!</v>
      </c>
      <c r="AE46" s="43" t="e">
        <f t="shared" ca="1" si="8"/>
        <v>#VALUE!</v>
      </c>
      <c r="AF46" s="44" t="e">
        <f t="shared" ca="1" si="9"/>
        <v>#VALUE!</v>
      </c>
      <c r="AG46" t="e">
        <f t="shared" ca="1" si="10"/>
        <v>#VALUE!</v>
      </c>
      <c r="AH46">
        <v>150000</v>
      </c>
      <c r="AI46">
        <v>200000</v>
      </c>
      <c r="AJ46" t="e">
        <f t="shared" ca="1" si="11"/>
        <v>#VALUE!</v>
      </c>
      <c r="AK46" t="e">
        <f t="shared" ca="1" si="12"/>
        <v>#VALUE!</v>
      </c>
      <c r="AL46" t="e">
        <f t="shared" ca="1" si="13"/>
        <v>#VALUE!</v>
      </c>
    </row>
    <row r="47" spans="19:38" ht="18" x14ac:dyDescent="0.25">
      <c r="S47" s="24"/>
      <c r="T47" s="28" t="str">
        <f ca="1">IF(ROWS($S$5:S47)&lt;=$T$2,ROWS($S$5:S47),"")</f>
        <v/>
      </c>
      <c r="U47" s="26" t="e">
        <f t="array" aca="1" ref="U47" ca="1">MATCH(SMALL(IF(SaleNameRange=CALS!$C$2,MonthRange2),CALS!$T47),IF(SaleNameRange=CALS!$C$2,MonthRange2),0)+5</f>
        <v>#VALUE!</v>
      </c>
      <c r="V47" s="42" t="e">
        <f t="shared" ca="1" si="5"/>
        <v>#VALUE!</v>
      </c>
      <c r="W47" s="26" t="e">
        <f t="shared" ca="1" si="5"/>
        <v>#VALUE!</v>
      </c>
      <c r="X47" s="26" t="e">
        <f t="shared" ca="1" si="5"/>
        <v>#VALUE!</v>
      </c>
      <c r="Y47" s="26" t="e">
        <f t="shared" ca="1" si="5"/>
        <v>#VALUE!</v>
      </c>
      <c r="Z47" s="26" t="e">
        <f t="shared" ca="1" si="18"/>
        <v>#VALUE!</v>
      </c>
      <c r="AA47" s="26" t="e">
        <f t="shared" ca="1" si="6"/>
        <v>#VALUE!</v>
      </c>
      <c r="AB47" s="41" t="e">
        <f t="shared" ca="1" si="6"/>
        <v>#VALUE!</v>
      </c>
      <c r="AC47" s="41" t="e">
        <f t="shared" ca="1" si="6"/>
        <v>#VALUE!</v>
      </c>
      <c r="AD47" s="59" t="e">
        <f t="shared" ca="1" si="7"/>
        <v>#VALUE!</v>
      </c>
      <c r="AE47" s="43" t="e">
        <f t="shared" ca="1" si="8"/>
        <v>#VALUE!</v>
      </c>
      <c r="AF47" s="44" t="e">
        <f t="shared" ca="1" si="9"/>
        <v>#VALUE!</v>
      </c>
      <c r="AG47" t="e">
        <f t="shared" ca="1" si="10"/>
        <v>#VALUE!</v>
      </c>
      <c r="AH47">
        <v>150000</v>
      </c>
      <c r="AI47">
        <v>200000</v>
      </c>
      <c r="AJ47" t="e">
        <f t="shared" ca="1" si="11"/>
        <v>#VALUE!</v>
      </c>
      <c r="AK47" t="e">
        <f t="shared" ca="1" si="12"/>
        <v>#VALUE!</v>
      </c>
      <c r="AL47" t="e">
        <f t="shared" ca="1" si="13"/>
        <v>#VALUE!</v>
      </c>
    </row>
    <row r="48" spans="19:38" ht="18" x14ac:dyDescent="0.25">
      <c r="S48" s="24"/>
      <c r="T48" s="28" t="str">
        <f ca="1">IF(ROWS($S$5:S48)&lt;=$T$2,ROWS($S$5:S48),"")</f>
        <v/>
      </c>
      <c r="U48" s="26" t="e">
        <f t="array" aca="1" ref="U48" ca="1">MATCH(SMALL(IF(SaleNameRange=CALS!$C$2,MonthRange2),CALS!$T48),IF(SaleNameRange=CALS!$C$2,MonthRange2),0)+5</f>
        <v>#VALUE!</v>
      </c>
      <c r="V48" s="42" t="e">
        <f t="shared" ca="1" si="5"/>
        <v>#VALUE!</v>
      </c>
      <c r="W48" s="26" t="e">
        <f t="shared" ca="1" si="5"/>
        <v>#VALUE!</v>
      </c>
      <c r="X48" s="26" t="e">
        <f t="shared" ca="1" si="5"/>
        <v>#VALUE!</v>
      </c>
      <c r="Y48" s="26" t="e">
        <f t="shared" ca="1" si="5"/>
        <v>#VALUE!</v>
      </c>
      <c r="Z48" s="26" t="e">
        <f t="shared" ca="1" si="18"/>
        <v>#VALUE!</v>
      </c>
      <c r="AA48" s="26" t="e">
        <f t="shared" ca="1" si="6"/>
        <v>#VALUE!</v>
      </c>
      <c r="AB48" s="41" t="e">
        <f t="shared" ca="1" si="6"/>
        <v>#VALUE!</v>
      </c>
      <c r="AC48" s="41" t="e">
        <f t="shared" ca="1" si="6"/>
        <v>#VALUE!</v>
      </c>
      <c r="AD48" s="59" t="e">
        <f t="shared" ca="1" si="7"/>
        <v>#VALUE!</v>
      </c>
      <c r="AE48" s="43" t="e">
        <f t="shared" ca="1" si="8"/>
        <v>#VALUE!</v>
      </c>
      <c r="AF48" s="44" t="e">
        <f t="shared" ca="1" si="9"/>
        <v>#VALUE!</v>
      </c>
      <c r="AG48" t="e">
        <f t="shared" ca="1" si="10"/>
        <v>#VALUE!</v>
      </c>
      <c r="AH48">
        <v>150000</v>
      </c>
      <c r="AI48">
        <v>200000</v>
      </c>
      <c r="AJ48" t="e">
        <f t="shared" ca="1" si="11"/>
        <v>#VALUE!</v>
      </c>
      <c r="AK48" t="e">
        <f t="shared" ca="1" si="12"/>
        <v>#VALUE!</v>
      </c>
      <c r="AL48" t="e">
        <f t="shared" ca="1" si="13"/>
        <v>#VALUE!</v>
      </c>
    </row>
    <row r="49" spans="19:38" ht="18" x14ac:dyDescent="0.25">
      <c r="S49" s="24"/>
      <c r="T49" s="28" t="str">
        <f ca="1">IF(ROWS($S$5:S49)&lt;=$T$2,ROWS($S$5:S49),"")</f>
        <v/>
      </c>
      <c r="U49" s="26" t="e">
        <f t="array" aca="1" ref="U49" ca="1">MATCH(SMALL(IF(SaleNameRange=CALS!$C$2,MonthRange2),CALS!$T49),IF(SaleNameRange=CALS!$C$2,MonthRange2),0)+5</f>
        <v>#VALUE!</v>
      </c>
      <c r="V49" s="42" t="e">
        <f t="shared" ca="1" si="5"/>
        <v>#VALUE!</v>
      </c>
      <c r="W49" s="26" t="e">
        <f t="shared" ca="1" si="5"/>
        <v>#VALUE!</v>
      </c>
      <c r="X49" s="26" t="e">
        <f t="shared" ca="1" si="5"/>
        <v>#VALUE!</v>
      </c>
      <c r="Y49" s="26" t="e">
        <f t="shared" ca="1" si="5"/>
        <v>#VALUE!</v>
      </c>
      <c r="Z49" s="26" t="e">
        <f t="shared" ca="1" si="18"/>
        <v>#VALUE!</v>
      </c>
      <c r="AA49" s="26" t="e">
        <f t="shared" ca="1" si="6"/>
        <v>#VALUE!</v>
      </c>
      <c r="AB49" s="41" t="e">
        <f t="shared" ca="1" si="6"/>
        <v>#VALUE!</v>
      </c>
      <c r="AC49" s="41" t="e">
        <f t="shared" ca="1" si="6"/>
        <v>#VALUE!</v>
      </c>
      <c r="AD49" s="59" t="e">
        <f t="shared" ca="1" si="7"/>
        <v>#VALUE!</v>
      </c>
      <c r="AE49" s="43" t="e">
        <f t="shared" ca="1" si="8"/>
        <v>#VALUE!</v>
      </c>
      <c r="AF49" s="44" t="e">
        <f t="shared" ca="1" si="9"/>
        <v>#VALUE!</v>
      </c>
      <c r="AG49" t="e">
        <f t="shared" ca="1" si="10"/>
        <v>#VALUE!</v>
      </c>
      <c r="AH49">
        <v>150000</v>
      </c>
      <c r="AI49">
        <v>200000</v>
      </c>
      <c r="AJ49" t="e">
        <f t="shared" ca="1" si="11"/>
        <v>#VALUE!</v>
      </c>
      <c r="AK49" t="e">
        <f t="shared" ca="1" si="12"/>
        <v>#VALUE!</v>
      </c>
      <c r="AL49" t="e">
        <f t="shared" ca="1" si="13"/>
        <v>#VALUE!</v>
      </c>
    </row>
    <row r="50" spans="19:38" ht="18" x14ac:dyDescent="0.25">
      <c r="S50" s="24"/>
      <c r="T50" s="28" t="str">
        <f ca="1">IF(ROWS($S$5:S50)&lt;=$T$2,ROWS($S$5:S50),"")</f>
        <v/>
      </c>
      <c r="U50" s="26" t="e">
        <f t="array" aca="1" ref="U50" ca="1">MATCH(SMALL(IF(SaleNameRange=CALS!$C$2,MonthRange2),CALS!$T50),IF(SaleNameRange=CALS!$C$2,MonthRange2),0)+5</f>
        <v>#VALUE!</v>
      </c>
      <c r="V50" s="42" t="e">
        <f t="shared" ca="1" si="5"/>
        <v>#VALUE!</v>
      </c>
      <c r="W50" s="26" t="e">
        <f t="shared" ca="1" si="5"/>
        <v>#VALUE!</v>
      </c>
      <c r="X50" s="26" t="e">
        <f t="shared" ca="1" si="5"/>
        <v>#VALUE!</v>
      </c>
      <c r="Y50" s="26" t="e">
        <f t="shared" ca="1" si="5"/>
        <v>#VALUE!</v>
      </c>
      <c r="Z50" s="26" t="e">
        <f t="shared" ca="1" si="18"/>
        <v>#VALUE!</v>
      </c>
      <c r="AA50" s="26" t="e">
        <f t="shared" ca="1" si="6"/>
        <v>#VALUE!</v>
      </c>
      <c r="AB50" s="41" t="e">
        <f t="shared" ca="1" si="6"/>
        <v>#VALUE!</v>
      </c>
      <c r="AC50" s="41" t="e">
        <f t="shared" ca="1" si="6"/>
        <v>#VALUE!</v>
      </c>
      <c r="AD50" s="59" t="e">
        <f t="shared" ca="1" si="7"/>
        <v>#VALUE!</v>
      </c>
      <c r="AE50" s="43" t="e">
        <f t="shared" ca="1" si="8"/>
        <v>#VALUE!</v>
      </c>
      <c r="AF50" s="44" t="e">
        <f t="shared" ca="1" si="9"/>
        <v>#VALUE!</v>
      </c>
      <c r="AG50" t="e">
        <f t="shared" ca="1" si="10"/>
        <v>#VALUE!</v>
      </c>
      <c r="AH50">
        <v>150000</v>
      </c>
      <c r="AI50">
        <v>200000</v>
      </c>
      <c r="AJ50" t="e">
        <f t="shared" ca="1" si="11"/>
        <v>#VALUE!</v>
      </c>
      <c r="AK50" t="e">
        <f t="shared" ca="1" si="12"/>
        <v>#VALUE!</v>
      </c>
      <c r="AL50" t="e">
        <f t="shared" ca="1" si="13"/>
        <v>#VALUE!</v>
      </c>
    </row>
    <row r="51" spans="19:38" ht="18" x14ac:dyDescent="0.25">
      <c r="S51" s="24"/>
      <c r="T51" s="28" t="str">
        <f ca="1">IF(ROWS($S$5:S51)&lt;=$T$2,ROWS($S$5:S51),"")</f>
        <v/>
      </c>
      <c r="U51" s="26" t="e">
        <f t="array" aca="1" ref="U51" ca="1">MATCH(SMALL(IF(SaleNameRange=CALS!$C$2,MonthRange2),CALS!$T51),IF(SaleNameRange=CALS!$C$2,MonthRange2),0)+5</f>
        <v>#VALUE!</v>
      </c>
      <c r="V51" s="42" t="e">
        <f t="shared" ca="1" si="5"/>
        <v>#VALUE!</v>
      </c>
      <c r="W51" s="26" t="e">
        <f t="shared" ca="1" si="5"/>
        <v>#VALUE!</v>
      </c>
      <c r="X51" s="26" t="e">
        <f t="shared" ca="1" si="5"/>
        <v>#VALUE!</v>
      </c>
      <c r="Y51" s="26" t="e">
        <f t="shared" ca="1" si="5"/>
        <v>#VALUE!</v>
      </c>
      <c r="Z51" s="26" t="e">
        <f t="shared" ca="1" si="18"/>
        <v>#VALUE!</v>
      </c>
      <c r="AA51" s="26" t="e">
        <f t="shared" ca="1" si="6"/>
        <v>#VALUE!</v>
      </c>
      <c r="AB51" s="41" t="e">
        <f t="shared" ca="1" si="6"/>
        <v>#VALUE!</v>
      </c>
      <c r="AC51" s="41" t="e">
        <f t="shared" ca="1" si="6"/>
        <v>#VALUE!</v>
      </c>
      <c r="AD51" s="59" t="e">
        <f t="shared" ca="1" si="7"/>
        <v>#VALUE!</v>
      </c>
      <c r="AE51" s="43" t="e">
        <f t="shared" ca="1" si="8"/>
        <v>#VALUE!</v>
      </c>
      <c r="AF51" s="44" t="e">
        <f t="shared" ca="1" si="9"/>
        <v>#VALUE!</v>
      </c>
      <c r="AG51" t="e">
        <f t="shared" ca="1" si="10"/>
        <v>#VALUE!</v>
      </c>
      <c r="AH51">
        <v>150000</v>
      </c>
      <c r="AI51">
        <v>200000</v>
      </c>
      <c r="AJ51" t="e">
        <f t="shared" ca="1" si="11"/>
        <v>#VALUE!</v>
      </c>
      <c r="AK51" t="e">
        <f t="shared" ca="1" si="12"/>
        <v>#VALUE!</v>
      </c>
      <c r="AL51" t="e">
        <f t="shared" ca="1" si="13"/>
        <v>#VALUE!</v>
      </c>
    </row>
    <row r="52" spans="19:38" ht="18" x14ac:dyDescent="0.25">
      <c r="S52" s="24"/>
      <c r="T52" s="28" t="str">
        <f ca="1">IF(ROWS($S$5:S52)&lt;=$T$2,ROWS($S$5:S52),"")</f>
        <v/>
      </c>
      <c r="U52" s="26" t="e">
        <f t="array" aca="1" ref="U52" ca="1">MATCH(SMALL(IF(SaleNameRange=CALS!$C$2,MonthRange2),CALS!$T52),IF(SaleNameRange=CALS!$C$2,MonthRange2),0)+5</f>
        <v>#VALUE!</v>
      </c>
      <c r="V52" s="42" t="e">
        <f t="shared" ca="1" si="5"/>
        <v>#VALUE!</v>
      </c>
      <c r="W52" s="26" t="e">
        <f t="shared" ca="1" si="5"/>
        <v>#VALUE!</v>
      </c>
      <c r="X52" s="26" t="e">
        <f t="shared" ca="1" si="5"/>
        <v>#VALUE!</v>
      </c>
      <c r="Y52" s="26" t="e">
        <f t="shared" ca="1" si="5"/>
        <v>#VALUE!</v>
      </c>
      <c r="Z52" s="26" t="e">
        <f t="shared" ca="1" si="18"/>
        <v>#VALUE!</v>
      </c>
      <c r="AA52" s="26" t="e">
        <f t="shared" ca="1" si="6"/>
        <v>#VALUE!</v>
      </c>
      <c r="AB52" s="41" t="e">
        <f t="shared" ca="1" si="6"/>
        <v>#VALUE!</v>
      </c>
      <c r="AC52" s="41" t="e">
        <f t="shared" ca="1" si="6"/>
        <v>#VALUE!</v>
      </c>
      <c r="AD52" s="59" t="e">
        <f t="shared" ca="1" si="7"/>
        <v>#VALUE!</v>
      </c>
      <c r="AE52" s="43" t="e">
        <f t="shared" ca="1" si="8"/>
        <v>#VALUE!</v>
      </c>
      <c r="AF52" s="44" t="e">
        <f t="shared" ca="1" si="9"/>
        <v>#VALUE!</v>
      </c>
      <c r="AG52" t="e">
        <f t="shared" ca="1" si="10"/>
        <v>#VALUE!</v>
      </c>
      <c r="AH52">
        <v>150000</v>
      </c>
      <c r="AI52">
        <v>200000</v>
      </c>
      <c r="AJ52" t="e">
        <f t="shared" ca="1" si="11"/>
        <v>#VALUE!</v>
      </c>
      <c r="AK52" t="e">
        <f t="shared" ca="1" si="12"/>
        <v>#VALUE!</v>
      </c>
      <c r="AL52" t="e">
        <f t="shared" ca="1" si="13"/>
        <v>#VALUE!</v>
      </c>
    </row>
    <row r="53" spans="19:38" ht="18" x14ac:dyDescent="0.25">
      <c r="S53" s="24"/>
      <c r="T53" s="28" t="str">
        <f ca="1">IF(ROWS($S$5:S53)&lt;=$T$2,ROWS($S$5:S53),"")</f>
        <v/>
      </c>
      <c r="U53" s="26" t="e">
        <f t="array" aca="1" ref="U53" ca="1">MATCH(SMALL(IF(SaleNameRange=CALS!$C$2,MonthRange2),CALS!$T53),IF(SaleNameRange=CALS!$C$2,MonthRange2),0)+5</f>
        <v>#VALUE!</v>
      </c>
      <c r="V53" s="42" t="e">
        <f t="shared" ca="1" si="5"/>
        <v>#VALUE!</v>
      </c>
      <c r="W53" s="26" t="e">
        <f t="shared" ca="1" si="5"/>
        <v>#VALUE!</v>
      </c>
      <c r="X53" s="26" t="e">
        <f t="shared" ca="1" si="5"/>
        <v>#VALUE!</v>
      </c>
      <c r="Y53" s="26" t="e">
        <f t="shared" ca="1" si="5"/>
        <v>#VALUE!</v>
      </c>
      <c r="Z53" s="26" t="e">
        <f t="shared" ca="1" si="18"/>
        <v>#VALUE!</v>
      </c>
      <c r="AA53" s="26" t="e">
        <f t="shared" ca="1" si="6"/>
        <v>#VALUE!</v>
      </c>
      <c r="AB53" s="41" t="e">
        <f t="shared" ca="1" si="6"/>
        <v>#VALUE!</v>
      </c>
      <c r="AC53" s="41" t="e">
        <f t="shared" ca="1" si="6"/>
        <v>#VALUE!</v>
      </c>
      <c r="AD53" s="59" t="e">
        <f t="shared" ca="1" si="7"/>
        <v>#VALUE!</v>
      </c>
      <c r="AE53" s="43" t="e">
        <f t="shared" ca="1" si="8"/>
        <v>#VALUE!</v>
      </c>
      <c r="AF53" s="44" t="e">
        <f t="shared" ca="1" si="9"/>
        <v>#VALUE!</v>
      </c>
      <c r="AG53" t="e">
        <f t="shared" ca="1" si="10"/>
        <v>#VALUE!</v>
      </c>
      <c r="AH53">
        <v>150000</v>
      </c>
      <c r="AI53">
        <v>200000</v>
      </c>
      <c r="AJ53" t="e">
        <f t="shared" ca="1" si="11"/>
        <v>#VALUE!</v>
      </c>
      <c r="AK53" t="e">
        <f t="shared" ca="1" si="12"/>
        <v>#VALUE!</v>
      </c>
      <c r="AL53" t="e">
        <f t="shared" ca="1" si="13"/>
        <v>#VALUE!</v>
      </c>
    </row>
    <row r="54" spans="19:38" ht="18" x14ac:dyDescent="0.25">
      <c r="S54" s="24"/>
      <c r="T54" s="28" t="str">
        <f ca="1">IF(ROWS($S$5:S54)&lt;=$T$2,ROWS($S$5:S54),"")</f>
        <v/>
      </c>
      <c r="U54" s="26" t="e">
        <f t="array" aca="1" ref="U54" ca="1">MATCH(SMALL(IF(SaleNameRange=CALS!$C$2,MonthRange2),CALS!$T54),IF(SaleNameRange=CALS!$C$2,MonthRange2),0)+5</f>
        <v>#VALUE!</v>
      </c>
      <c r="V54" s="42" t="e">
        <f t="shared" ca="1" si="5"/>
        <v>#VALUE!</v>
      </c>
      <c r="W54" s="26" t="e">
        <f t="shared" ca="1" si="5"/>
        <v>#VALUE!</v>
      </c>
      <c r="X54" s="26" t="e">
        <f t="shared" ca="1" si="5"/>
        <v>#VALUE!</v>
      </c>
      <c r="Y54" s="26" t="e">
        <f t="shared" ca="1" si="5"/>
        <v>#VALUE!</v>
      </c>
      <c r="Z54" s="26" t="e">
        <f t="shared" ca="1" si="18"/>
        <v>#VALUE!</v>
      </c>
      <c r="AA54" s="26" t="e">
        <f t="shared" ca="1" si="6"/>
        <v>#VALUE!</v>
      </c>
      <c r="AB54" s="41" t="e">
        <f t="shared" ca="1" si="6"/>
        <v>#VALUE!</v>
      </c>
      <c r="AC54" s="41" t="e">
        <f t="shared" ca="1" si="6"/>
        <v>#VALUE!</v>
      </c>
      <c r="AD54" s="59" t="e">
        <f t="shared" ca="1" si="7"/>
        <v>#VALUE!</v>
      </c>
      <c r="AE54" s="43" t="e">
        <f t="shared" ca="1" si="8"/>
        <v>#VALUE!</v>
      </c>
      <c r="AF54" s="44" t="e">
        <f t="shared" ca="1" si="9"/>
        <v>#VALUE!</v>
      </c>
      <c r="AG54" t="e">
        <f t="shared" ca="1" si="10"/>
        <v>#VALUE!</v>
      </c>
      <c r="AH54">
        <v>150000</v>
      </c>
      <c r="AI54">
        <v>200000</v>
      </c>
      <c r="AJ54" t="e">
        <f t="shared" ca="1" si="11"/>
        <v>#VALUE!</v>
      </c>
      <c r="AK54" t="e">
        <f t="shared" ca="1" si="12"/>
        <v>#VALUE!</v>
      </c>
      <c r="AL54" t="e">
        <f t="shared" ca="1" si="13"/>
        <v>#VALUE!</v>
      </c>
    </row>
    <row r="55" spans="19:38" x14ac:dyDescent="0.2">
      <c r="S55" s="24"/>
      <c r="T55" s="28"/>
      <c r="U55" s="26"/>
      <c r="V55" s="42"/>
      <c r="W55" s="26"/>
      <c r="X55" s="26"/>
      <c r="Y55" s="26"/>
      <c r="Z55" s="26"/>
      <c r="AA55" s="26"/>
      <c r="AB55" s="41"/>
      <c r="AC55" s="41"/>
      <c r="AD55" s="41"/>
      <c r="AE55" s="41"/>
      <c r="AF55" s="45"/>
    </row>
    <row r="56" spans="19:38" x14ac:dyDescent="0.2">
      <c r="S56" s="24"/>
      <c r="T56" s="28"/>
      <c r="U56" s="26"/>
      <c r="V56" s="42"/>
      <c r="W56" s="26"/>
      <c r="X56" s="26"/>
      <c r="Y56" s="26"/>
      <c r="Z56" s="26"/>
      <c r="AA56" s="26"/>
      <c r="AB56" s="41"/>
      <c r="AC56" s="41"/>
      <c r="AD56" s="41"/>
      <c r="AE56" s="41"/>
      <c r="AF56" s="45"/>
    </row>
    <row r="57" spans="19:38" x14ac:dyDescent="0.2">
      <c r="S57" s="24"/>
      <c r="T57" s="28"/>
      <c r="U57" s="26"/>
      <c r="V57" s="42"/>
      <c r="W57" s="26"/>
      <c r="X57" s="26"/>
      <c r="Y57" s="26"/>
      <c r="Z57" s="26"/>
      <c r="AA57" s="26"/>
      <c r="AB57" s="41"/>
      <c r="AC57" s="41"/>
      <c r="AD57" s="41"/>
      <c r="AE57" s="41"/>
      <c r="AF57" s="45"/>
    </row>
    <row r="58" spans="19:38" x14ac:dyDescent="0.2">
      <c r="S58" s="24"/>
      <c r="T58" s="28"/>
      <c r="U58" s="26"/>
      <c r="V58" s="42"/>
      <c r="W58" s="26"/>
      <c r="X58" s="26"/>
      <c r="Y58" s="26"/>
      <c r="Z58" s="26"/>
      <c r="AA58" s="26"/>
      <c r="AB58" s="41"/>
      <c r="AC58" s="41"/>
      <c r="AD58" s="41"/>
      <c r="AE58" s="41"/>
      <c r="AF58" s="45"/>
    </row>
    <row r="59" spans="19:38" x14ac:dyDescent="0.2">
      <c r="S59" s="24"/>
      <c r="T59" s="28"/>
      <c r="U59" s="26"/>
      <c r="V59" s="42"/>
      <c r="W59" s="26"/>
      <c r="X59" s="26"/>
      <c r="Y59" s="26"/>
      <c r="Z59" s="26"/>
      <c r="AA59" s="26"/>
      <c r="AB59" s="41"/>
      <c r="AC59" s="41"/>
      <c r="AD59" s="41"/>
      <c r="AE59" s="41"/>
      <c r="AF59" s="45"/>
    </row>
    <row r="60" spans="19:38" x14ac:dyDescent="0.2">
      <c r="S60" s="24"/>
      <c r="T60" s="28"/>
      <c r="U60" s="26"/>
      <c r="V60" s="42"/>
      <c r="W60" s="26"/>
      <c r="X60" s="26"/>
      <c r="Y60" s="26"/>
      <c r="Z60" s="26"/>
      <c r="AA60" s="26"/>
      <c r="AB60" s="41"/>
      <c r="AC60" s="41"/>
      <c r="AD60" s="41"/>
      <c r="AE60" s="41"/>
      <c r="AF60" s="45"/>
    </row>
    <row r="61" spans="19:38" x14ac:dyDescent="0.2">
      <c r="S61" s="24"/>
      <c r="T61" s="28"/>
      <c r="U61" s="26"/>
      <c r="V61" s="42"/>
      <c r="W61" s="26"/>
      <c r="X61" s="26"/>
      <c r="Y61" s="26"/>
      <c r="Z61" s="26"/>
      <c r="AA61" s="26"/>
      <c r="AB61" s="41"/>
      <c r="AC61" s="41"/>
      <c r="AD61" s="41"/>
      <c r="AE61" s="41"/>
      <c r="AF61" s="45"/>
    </row>
    <row r="62" spans="19:38" x14ac:dyDescent="0.2">
      <c r="S62" s="24"/>
      <c r="T62" s="28"/>
      <c r="U62" s="26"/>
      <c r="V62" s="42"/>
      <c r="W62" s="26"/>
      <c r="X62" s="26"/>
      <c r="Y62" s="26"/>
      <c r="Z62" s="26"/>
      <c r="AA62" s="26"/>
      <c r="AB62" s="41"/>
      <c r="AC62" s="41"/>
      <c r="AD62" s="41"/>
      <c r="AE62" s="41"/>
      <c r="AF62" s="45"/>
    </row>
    <row r="63" spans="19:38" x14ac:dyDescent="0.2">
      <c r="S63" s="24"/>
      <c r="T63" s="28"/>
      <c r="U63" s="26"/>
      <c r="V63" s="42"/>
      <c r="W63" s="26"/>
      <c r="X63" s="26"/>
      <c r="Y63" s="26"/>
      <c r="Z63" s="26"/>
      <c r="AA63" s="26"/>
      <c r="AB63" s="41"/>
      <c r="AC63" s="41"/>
      <c r="AD63" s="41"/>
      <c r="AE63" s="41"/>
      <c r="AF63" s="45"/>
    </row>
    <row r="64" spans="19:38" x14ac:dyDescent="0.2">
      <c r="S64" s="24"/>
      <c r="T64" s="28"/>
      <c r="U64" s="26"/>
      <c r="V64" s="42"/>
      <c r="W64" s="26"/>
      <c r="X64" s="26"/>
      <c r="Y64" s="26"/>
      <c r="Z64" s="26"/>
      <c r="AA64" s="26"/>
      <c r="AB64" s="41"/>
      <c r="AC64" s="41"/>
      <c r="AD64" s="41"/>
      <c r="AE64" s="41"/>
      <c r="AF64" s="45"/>
    </row>
    <row r="65" spans="19:32" x14ac:dyDescent="0.2">
      <c r="S65" s="24"/>
      <c r="T65" s="28"/>
      <c r="U65" s="26"/>
      <c r="V65" s="42"/>
      <c r="W65" s="26"/>
      <c r="X65" s="26"/>
      <c r="Y65" s="26"/>
      <c r="Z65" s="26"/>
      <c r="AA65" s="26"/>
      <c r="AB65" s="41"/>
      <c r="AC65" s="41"/>
      <c r="AD65" s="41"/>
      <c r="AE65" s="41"/>
      <c r="AF65" s="45"/>
    </row>
    <row r="66" spans="19:32" x14ac:dyDescent="0.2">
      <c r="S66" s="24"/>
      <c r="T66" s="28"/>
      <c r="U66" s="26"/>
      <c r="V66" s="42"/>
      <c r="W66" s="26"/>
      <c r="X66" s="26"/>
      <c r="Y66" s="26"/>
      <c r="Z66" s="26"/>
      <c r="AA66" s="26"/>
      <c r="AB66" s="41"/>
      <c r="AC66" s="41"/>
      <c r="AD66" s="41"/>
      <c r="AE66" s="41"/>
      <c r="AF66" s="45"/>
    </row>
    <row r="67" spans="19:32" x14ac:dyDescent="0.2">
      <c r="S67" s="24"/>
      <c r="T67" s="28"/>
      <c r="U67" s="26"/>
      <c r="V67" s="42"/>
      <c r="W67" s="26"/>
      <c r="X67" s="26"/>
      <c r="Y67" s="26"/>
      <c r="Z67" s="26"/>
      <c r="AA67" s="26"/>
      <c r="AB67" s="41"/>
      <c r="AC67" s="41"/>
      <c r="AD67" s="41"/>
      <c r="AE67" s="41"/>
      <c r="AF67" s="45"/>
    </row>
    <row r="68" spans="19:32" x14ac:dyDescent="0.2">
      <c r="S68" s="24"/>
      <c r="T68" s="28"/>
      <c r="U68" s="26"/>
      <c r="V68" s="42"/>
      <c r="W68" s="26"/>
      <c r="X68" s="26"/>
      <c r="Y68" s="26"/>
      <c r="Z68" s="26"/>
      <c r="AA68" s="26"/>
      <c r="AB68" s="41"/>
      <c r="AC68" s="41"/>
      <c r="AD68" s="41"/>
      <c r="AE68" s="41"/>
      <c r="AF68" s="45"/>
    </row>
    <row r="69" spans="19:32" x14ac:dyDescent="0.2">
      <c r="S69" s="24"/>
      <c r="T69" s="28"/>
      <c r="U69" s="26"/>
      <c r="V69" s="42"/>
      <c r="W69" s="26"/>
      <c r="X69" s="26"/>
      <c r="Y69" s="26"/>
      <c r="Z69" s="26"/>
      <c r="AA69" s="26"/>
      <c r="AB69" s="41"/>
      <c r="AC69" s="41"/>
      <c r="AD69" s="41"/>
      <c r="AE69" s="41"/>
      <c r="AF69" s="45"/>
    </row>
    <row r="70" spans="19:32" x14ac:dyDescent="0.2">
      <c r="S70" s="24"/>
      <c r="T70" s="28"/>
      <c r="U70" s="26"/>
      <c r="V70" s="42"/>
      <c r="W70" s="26"/>
      <c r="X70" s="26"/>
      <c r="Y70" s="26"/>
      <c r="Z70" s="26"/>
      <c r="AA70" s="26"/>
      <c r="AB70" s="41"/>
      <c r="AC70" s="41"/>
      <c r="AD70" s="41"/>
      <c r="AE70" s="41"/>
      <c r="AF70" s="45"/>
    </row>
    <row r="71" spans="19:32" x14ac:dyDescent="0.2">
      <c r="S71" s="24"/>
      <c r="T71" s="28"/>
      <c r="U71" s="26"/>
      <c r="V71" s="42"/>
      <c r="W71" s="26"/>
      <c r="X71" s="26"/>
      <c r="Y71" s="26"/>
      <c r="Z71" s="26"/>
      <c r="AA71" s="26"/>
      <c r="AB71" s="41"/>
      <c r="AC71" s="41"/>
      <c r="AD71" s="41"/>
      <c r="AE71" s="41"/>
      <c r="AF71" s="45"/>
    </row>
    <row r="72" spans="19:32" x14ac:dyDescent="0.2">
      <c r="S72" s="24"/>
      <c r="T72" s="28"/>
      <c r="U72" s="26"/>
      <c r="V72" s="42"/>
      <c r="W72" s="26"/>
      <c r="X72" s="26"/>
      <c r="Y72" s="26"/>
      <c r="Z72" s="26"/>
      <c r="AA72" s="26"/>
      <c r="AB72" s="41"/>
      <c r="AC72" s="41"/>
      <c r="AD72" s="41"/>
      <c r="AE72" s="41"/>
      <c r="AF72" s="45"/>
    </row>
    <row r="73" spans="19:32" x14ac:dyDescent="0.2">
      <c r="S73" s="24"/>
      <c r="T73" s="28"/>
      <c r="U73" s="26"/>
      <c r="V73" s="42"/>
      <c r="W73" s="26"/>
      <c r="X73" s="26"/>
      <c r="Y73" s="26"/>
      <c r="Z73" s="26"/>
      <c r="AA73" s="26"/>
      <c r="AB73" s="41"/>
      <c r="AC73" s="41"/>
      <c r="AD73" s="41"/>
      <c r="AE73" s="41"/>
      <c r="AF73" s="45"/>
    </row>
    <row r="74" spans="19:32" x14ac:dyDescent="0.2">
      <c r="S74" s="24"/>
      <c r="T74" s="28"/>
      <c r="U74" s="26"/>
      <c r="V74" s="42"/>
      <c r="W74" s="26"/>
      <c r="X74" s="26"/>
      <c r="Y74" s="26"/>
      <c r="Z74" s="26"/>
      <c r="AA74" s="26"/>
      <c r="AB74" s="41"/>
      <c r="AC74" s="41"/>
      <c r="AD74" s="41"/>
      <c r="AE74" s="41"/>
      <c r="AF74" s="45"/>
    </row>
    <row r="75" spans="19:32" x14ac:dyDescent="0.2">
      <c r="S75" s="24"/>
      <c r="T75" s="28"/>
      <c r="U75" s="26"/>
      <c r="V75" s="42"/>
      <c r="W75" s="26"/>
      <c r="X75" s="26"/>
      <c r="Y75" s="26"/>
      <c r="Z75" s="26"/>
      <c r="AA75" s="26"/>
      <c r="AB75" s="41"/>
      <c r="AC75" s="41"/>
      <c r="AD75" s="41"/>
      <c r="AE75" s="41"/>
      <c r="AF75" s="45"/>
    </row>
    <row r="76" spans="19:32" x14ac:dyDescent="0.2">
      <c r="S76" s="24"/>
      <c r="T76" s="28"/>
      <c r="U76" s="26"/>
      <c r="V76" s="42"/>
      <c r="W76" s="26"/>
      <c r="X76" s="26"/>
      <c r="Y76" s="26"/>
      <c r="Z76" s="26"/>
      <c r="AA76" s="26"/>
      <c r="AB76" s="41"/>
      <c r="AC76" s="41"/>
      <c r="AD76" s="41"/>
      <c r="AE76" s="41"/>
      <c r="AF76" s="45"/>
    </row>
    <row r="77" spans="19:32" x14ac:dyDescent="0.2">
      <c r="S77" s="24"/>
      <c r="T77" s="29"/>
      <c r="U77" s="30"/>
      <c r="V77" s="46"/>
      <c r="W77" s="30"/>
      <c r="X77" s="30"/>
      <c r="Y77" s="30"/>
      <c r="Z77" s="30"/>
      <c r="AA77" s="30"/>
      <c r="AB77" s="47"/>
      <c r="AC77" s="47"/>
      <c r="AD77" s="47"/>
      <c r="AE77" s="47"/>
      <c r="AF77" s="48"/>
    </row>
    <row r="78" spans="19:32" x14ac:dyDescent="0.2">
      <c r="S78" s="24"/>
      <c r="T78" s="24"/>
      <c r="U78" s="24"/>
      <c r="V78" s="24"/>
      <c r="W78" s="24"/>
      <c r="X78" s="24"/>
      <c r="Y78" s="24"/>
      <c r="Z78" s="24"/>
      <c r="AA78" s="24"/>
    </row>
    <row r="79" spans="19:32" x14ac:dyDescent="0.2">
      <c r="S79" s="24"/>
      <c r="T79" s="24"/>
      <c r="U79" s="24"/>
      <c r="V79" s="24"/>
      <c r="W79" s="24"/>
      <c r="X79" s="24"/>
      <c r="Y79" s="24"/>
      <c r="Z79" s="24"/>
      <c r="AA79" s="24"/>
    </row>
    <row r="80" spans="19:32" x14ac:dyDescent="0.2">
      <c r="S80" s="24"/>
      <c r="T80" s="24"/>
      <c r="U80" s="24"/>
      <c r="V80" s="24"/>
      <c r="W80" s="24"/>
      <c r="X80" s="24"/>
      <c r="Y80" s="24"/>
      <c r="Z80" s="24"/>
      <c r="AA80" s="24"/>
    </row>
    <row r="81" spans="19:27" x14ac:dyDescent="0.2">
      <c r="S81" s="24"/>
      <c r="T81" s="24"/>
      <c r="U81" s="24"/>
      <c r="V81" s="24"/>
      <c r="W81" s="24"/>
      <c r="X81" s="24"/>
      <c r="Y81" s="24"/>
      <c r="Z81" s="24"/>
      <c r="AA81" s="24"/>
    </row>
    <row r="82" spans="19:27" x14ac:dyDescent="0.2">
      <c r="S82" s="24"/>
      <c r="T82" s="24"/>
      <c r="U82" s="24"/>
      <c r="V82" s="24"/>
      <c r="W82" s="24"/>
      <c r="X82" s="24"/>
      <c r="Y82" s="24"/>
      <c r="Z82" s="24"/>
      <c r="AA82" s="24"/>
    </row>
    <row r="83" spans="19:27" x14ac:dyDescent="0.2">
      <c r="S83" s="24"/>
      <c r="T83" s="24"/>
      <c r="U83" s="24"/>
      <c r="V83" s="24"/>
      <c r="W83" s="24"/>
      <c r="X83" s="24"/>
      <c r="Y83" s="24"/>
      <c r="Z83" s="24"/>
      <c r="AA83" s="24"/>
    </row>
    <row r="84" spans="19:27" x14ac:dyDescent="0.2">
      <c r="S84" s="24"/>
      <c r="T84" s="24"/>
      <c r="U84" s="24"/>
      <c r="V84" s="24"/>
      <c r="W84" s="24"/>
      <c r="X84" s="24"/>
      <c r="Y84" s="24"/>
      <c r="Z84" s="24"/>
      <c r="AA84" s="24"/>
    </row>
    <row r="85" spans="19:27" x14ac:dyDescent="0.2">
      <c r="S85" s="24"/>
      <c r="T85" s="24"/>
      <c r="U85" s="24"/>
      <c r="V85" s="24"/>
      <c r="W85" s="24"/>
      <c r="X85" s="24"/>
      <c r="Y85" s="24"/>
      <c r="Z85" s="24"/>
      <c r="AA85" s="24"/>
    </row>
    <row r="86" spans="19:27" x14ac:dyDescent="0.2">
      <c r="S86" s="24"/>
      <c r="T86" s="24"/>
      <c r="U86" s="24"/>
      <c r="V86" s="24"/>
      <c r="W86" s="24"/>
      <c r="X86" s="24"/>
      <c r="Y86" s="24"/>
      <c r="Z86" s="24"/>
      <c r="AA86" s="24"/>
    </row>
    <row r="87" spans="19:27" x14ac:dyDescent="0.2">
      <c r="S87" s="24"/>
      <c r="T87" s="24"/>
      <c r="U87" s="24"/>
      <c r="V87" s="24"/>
      <c r="W87" s="24"/>
      <c r="X87" s="24"/>
      <c r="Y87" s="24"/>
      <c r="Z87" s="24"/>
      <c r="AA87" s="24"/>
    </row>
    <row r="88" spans="19:27" x14ac:dyDescent="0.2">
      <c r="S88" s="24"/>
      <c r="T88" s="24"/>
      <c r="U88" s="24"/>
      <c r="V88" s="24"/>
      <c r="W88" s="24"/>
      <c r="X88" s="24"/>
      <c r="Y88" s="24"/>
      <c r="Z88" s="24"/>
      <c r="AA88" s="24"/>
    </row>
    <row r="89" spans="19:27" x14ac:dyDescent="0.2">
      <c r="S89" s="24"/>
      <c r="T89" s="24"/>
      <c r="U89" s="24"/>
      <c r="V89" s="24"/>
      <c r="W89" s="24"/>
      <c r="X89" s="24"/>
      <c r="Y89" s="24"/>
      <c r="Z89" s="24"/>
      <c r="AA89" s="24"/>
    </row>
    <row r="90" spans="19:27" x14ac:dyDescent="0.2">
      <c r="S90" s="24"/>
      <c r="T90" s="24"/>
      <c r="U90" s="24"/>
      <c r="V90" s="24"/>
      <c r="W90" s="24"/>
      <c r="X90" s="24"/>
      <c r="Y90" s="24"/>
      <c r="Z90" s="24"/>
      <c r="AA90" s="24"/>
    </row>
    <row r="91" spans="19:27" x14ac:dyDescent="0.2">
      <c r="S91" s="24"/>
      <c r="T91" s="24"/>
      <c r="U91" s="24"/>
      <c r="V91" s="24"/>
      <c r="W91" s="24"/>
      <c r="X91" s="24"/>
      <c r="Y91" s="24"/>
      <c r="Z91" s="24"/>
      <c r="AA91" s="24"/>
    </row>
    <row r="92" spans="19:27" x14ac:dyDescent="0.2">
      <c r="S92" s="24"/>
      <c r="T92" s="24"/>
      <c r="U92" s="24"/>
      <c r="V92" s="24"/>
      <c r="W92" s="24"/>
      <c r="X92" s="24"/>
      <c r="Y92" s="24"/>
      <c r="Z92" s="24"/>
      <c r="AA92" s="24"/>
    </row>
    <row r="93" spans="19:27" x14ac:dyDescent="0.2">
      <c r="S93" s="24"/>
      <c r="T93" s="24"/>
      <c r="U93" s="24"/>
      <c r="V93" s="24"/>
      <c r="W93" s="24"/>
      <c r="X93" s="24"/>
      <c r="Y93" s="24"/>
      <c r="Z93" s="24"/>
      <c r="AA93" s="24"/>
    </row>
    <row r="94" spans="19:27" x14ac:dyDescent="0.2">
      <c r="S94" s="24"/>
      <c r="T94" s="24"/>
      <c r="U94" s="24"/>
      <c r="V94" s="24"/>
      <c r="W94" s="24"/>
      <c r="X94" s="24"/>
      <c r="Y94" s="24"/>
      <c r="Z94" s="24"/>
      <c r="AA94" s="24"/>
    </row>
    <row r="95" spans="19:27" x14ac:dyDescent="0.2">
      <c r="S95" s="24"/>
      <c r="T95" s="24"/>
      <c r="U95" s="24"/>
      <c r="V95" s="24"/>
      <c r="W95" s="24"/>
      <c r="X95" s="24"/>
      <c r="Y95" s="24"/>
      <c r="Z95" s="24"/>
      <c r="AA95" s="24"/>
    </row>
    <row r="96" spans="19:27" x14ac:dyDescent="0.2">
      <c r="S96" s="24"/>
      <c r="T96" s="24"/>
      <c r="U96" s="24"/>
      <c r="V96" s="24"/>
      <c r="W96" s="24"/>
      <c r="X96" s="24"/>
      <c r="Y96" s="24"/>
      <c r="Z96" s="24"/>
      <c r="AA96" s="24"/>
    </row>
    <row r="97" spans="19:27" x14ac:dyDescent="0.2">
      <c r="S97" s="24"/>
      <c r="T97" s="24"/>
      <c r="U97" s="24"/>
      <c r="V97" s="24"/>
      <c r="W97" s="24"/>
      <c r="X97" s="24"/>
      <c r="Y97" s="24"/>
      <c r="Z97" s="24"/>
      <c r="AA97" s="24"/>
    </row>
  </sheetData>
  <mergeCells count="1">
    <mergeCell ref="C5:D5"/>
  </mergeCells>
  <dataValidations count="1">
    <dataValidation type="list" allowBlank="1" showInputMessage="1" showErrorMessage="1" sqref="H12">
      <formula1>OFFSET(INDIRECT(Cheat&amp;"$B$6"),0,0,LastRow-5,1)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Z103"/>
  <sheetViews>
    <sheetView topLeftCell="M1" zoomScaleNormal="100" workbookViewId="0">
      <selection activeCell="N47" sqref="N47"/>
    </sheetView>
  </sheetViews>
  <sheetFormatPr defaultRowHeight="14.25" x14ac:dyDescent="0.2"/>
  <cols>
    <col min="2" max="2" width="16.125" customWidth="1"/>
    <col min="3" max="3" width="10.875" customWidth="1"/>
    <col min="4" max="4" width="13.75" style="1" customWidth="1"/>
    <col min="5" max="5" width="11.25" style="1" customWidth="1"/>
    <col min="6" max="6" width="9" style="1" customWidth="1"/>
    <col min="7" max="7" width="11.625" style="1" customWidth="1"/>
    <col min="8" max="8" width="14.5" style="1" customWidth="1"/>
    <col min="9" max="9" width="15" style="1" customWidth="1"/>
    <col min="10" max="10" width="14.125" style="1" customWidth="1"/>
    <col min="11" max="11" width="11.625" style="1" customWidth="1"/>
    <col min="12" max="12" width="9" style="1" customWidth="1"/>
    <col min="13" max="13" width="13.5" style="1" customWidth="1"/>
    <col min="14" max="14" width="17.875" style="1" customWidth="1"/>
    <col min="15" max="15" width="19.125" customWidth="1"/>
    <col min="16" max="16" width="12.125" style="1" customWidth="1"/>
    <col min="17" max="17" width="13.125" customWidth="1"/>
    <col min="18" max="18" width="11.75" customWidth="1"/>
    <col min="19" max="19" width="14.375" customWidth="1"/>
    <col min="22" max="22" width="13.875" customWidth="1"/>
    <col min="23" max="23" width="20.875" customWidth="1"/>
  </cols>
  <sheetData>
    <row r="1" spans="1:26" x14ac:dyDescent="0.2">
      <c r="W1" s="2"/>
    </row>
    <row r="2" spans="1:26" x14ac:dyDescent="0.2">
      <c r="W2" s="2"/>
    </row>
    <row r="4" spans="1:26" x14ac:dyDescent="0.2">
      <c r="A4" t="s">
        <v>14</v>
      </c>
      <c r="B4" t="s">
        <v>33</v>
      </c>
      <c r="C4" t="s">
        <v>1</v>
      </c>
      <c r="D4" s="1" t="s">
        <v>4</v>
      </c>
      <c r="E4" s="1" t="s">
        <v>6</v>
      </c>
      <c r="F4" s="1" t="s">
        <v>5</v>
      </c>
      <c r="G4" s="1" t="s">
        <v>19</v>
      </c>
      <c r="H4" s="1" t="s">
        <v>7</v>
      </c>
      <c r="I4" s="1" t="s">
        <v>8</v>
      </c>
      <c r="J4" s="1" t="s">
        <v>3</v>
      </c>
      <c r="K4" s="1" t="s">
        <v>9</v>
      </c>
      <c r="L4" s="1" t="s">
        <v>10</v>
      </c>
      <c r="M4" s="1" t="s">
        <v>11</v>
      </c>
      <c r="N4" s="1" t="s">
        <v>2</v>
      </c>
      <c r="O4" s="1" t="s">
        <v>12</v>
      </c>
      <c r="P4" s="1" t="s">
        <v>15</v>
      </c>
      <c r="Q4" s="1" t="s">
        <v>16</v>
      </c>
      <c r="R4" s="1" t="s">
        <v>17</v>
      </c>
      <c r="S4" s="1" t="s">
        <v>18</v>
      </c>
    </row>
    <row r="5" spans="1:26" s="4" customFormat="1" hidden="1" x14ac:dyDescent="0.2">
      <c r="D5" s="5"/>
      <c r="E5" s="5"/>
      <c r="F5" s="5"/>
      <c r="G5" s="5">
        <v>23918.52</v>
      </c>
      <c r="H5" s="5"/>
      <c r="I5" s="5"/>
      <c r="J5" s="5"/>
      <c r="K5" s="5"/>
      <c r="L5" s="5"/>
      <c r="M5" s="5"/>
      <c r="N5" s="5"/>
      <c r="O5" s="5"/>
      <c r="P5" s="5"/>
      <c r="Q5" s="6"/>
      <c r="R5" s="6"/>
      <c r="S5" s="6"/>
    </row>
    <row r="6" spans="1:26" hidden="1" x14ac:dyDescent="0.2">
      <c r="A6">
        <f>IF(C6&lt;&gt;"",ROWS($6:6),"")</f>
        <v>1</v>
      </c>
      <c r="B6" t="s">
        <v>0</v>
      </c>
      <c r="C6" s="2">
        <v>40909</v>
      </c>
      <c r="D6" s="1">
        <v>159800</v>
      </c>
      <c r="E6" s="1">
        <v>52093.05</v>
      </c>
      <c r="F6" s="1">
        <v>6451.44</v>
      </c>
      <c r="G6" s="1">
        <f>E6-F6</f>
        <v>45641.61</v>
      </c>
      <c r="H6" s="1">
        <v>6200</v>
      </c>
      <c r="J6" s="1">
        <v>30000</v>
      </c>
      <c r="L6" s="1">
        <v>11000</v>
      </c>
      <c r="M6" s="1">
        <v>235</v>
      </c>
      <c r="N6" s="1">
        <f>G5+H6+I6+J6+K6+(L6-M6)</f>
        <v>70883.520000000004</v>
      </c>
      <c r="O6" s="1">
        <f>G6+H6+I6+J6+K6+(L6-M6)</f>
        <v>92606.61</v>
      </c>
      <c r="P6" s="1">
        <v>150000</v>
      </c>
      <c r="Q6" s="3">
        <f>IF(I6&gt;0,1,0)</f>
        <v>0</v>
      </c>
      <c r="R6" s="3">
        <f>IF(J6&gt;0,1,0)</f>
        <v>1</v>
      </c>
      <c r="S6" s="3" t="e">
        <f>IF(K6&gt;0,1,NA())</f>
        <v>#N/A</v>
      </c>
    </row>
    <row r="7" spans="1:26" hidden="1" x14ac:dyDescent="0.2">
      <c r="A7">
        <f>IF(C7&lt;&gt;"",ROWS($6:7),"")</f>
        <v>2</v>
      </c>
      <c r="B7" t="s">
        <v>0</v>
      </c>
      <c r="C7" s="2">
        <v>40940</v>
      </c>
      <c r="D7" s="1">
        <v>276900</v>
      </c>
      <c r="E7" s="1">
        <v>64584</v>
      </c>
      <c r="F7" s="1">
        <v>7192.2899999999991</v>
      </c>
      <c r="G7" s="1">
        <f t="shared" ref="G7:G45" si="0">E7-F7</f>
        <v>57391.71</v>
      </c>
      <c r="H7" s="1">
        <v>8300</v>
      </c>
      <c r="L7" s="1">
        <v>11000</v>
      </c>
      <c r="N7" s="1">
        <f t="shared" ref="N7:N33" si="1">G6+H7+I7+J7+K7+(L7-M7)</f>
        <v>64941.61</v>
      </c>
      <c r="O7" s="1">
        <f t="shared" ref="O7:O45" si="2">G7+H7+I7+J7+K7+(L7-M7)</f>
        <v>76691.709999999992</v>
      </c>
      <c r="P7" s="1">
        <v>150000</v>
      </c>
      <c r="Q7" s="3">
        <f t="shared" ref="Q7:R33" si="3">IF(I7&gt;0,1,0)</f>
        <v>0</v>
      </c>
      <c r="R7" s="3">
        <f t="shared" si="3"/>
        <v>0</v>
      </c>
      <c r="S7" s="3" t="e">
        <f t="shared" ref="S7:S33" si="4">IF(K7&gt;0,1,NA())</f>
        <v>#N/A</v>
      </c>
    </row>
    <row r="8" spans="1:26" hidden="1" x14ac:dyDescent="0.2">
      <c r="A8">
        <f>IF(C8&lt;&gt;"",ROWS($6:8),"")</f>
        <v>3</v>
      </c>
      <c r="B8" t="s">
        <v>0</v>
      </c>
      <c r="C8" s="2">
        <v>40969</v>
      </c>
      <c r="D8" s="1">
        <v>501544</v>
      </c>
      <c r="E8" s="1">
        <v>75231.600000000006</v>
      </c>
      <c r="F8" s="1">
        <v>8372.4</v>
      </c>
      <c r="G8" s="1">
        <f t="shared" si="0"/>
        <v>66859.200000000012</v>
      </c>
      <c r="H8" s="1">
        <v>10200</v>
      </c>
      <c r="I8" s="1">
        <v>3000</v>
      </c>
      <c r="K8" s="1">
        <v>3000</v>
      </c>
      <c r="L8" s="1">
        <v>11000</v>
      </c>
      <c r="N8" s="1">
        <f t="shared" si="1"/>
        <v>84591.709999999992</v>
      </c>
      <c r="O8" s="1">
        <f t="shared" si="2"/>
        <v>94059.200000000012</v>
      </c>
      <c r="P8" s="1">
        <v>150000</v>
      </c>
      <c r="Q8" s="3">
        <f t="shared" si="3"/>
        <v>1</v>
      </c>
      <c r="R8" s="3">
        <f t="shared" si="3"/>
        <v>0</v>
      </c>
      <c r="S8" s="3">
        <f t="shared" si="4"/>
        <v>1</v>
      </c>
      <c r="Z8" s="2"/>
    </row>
    <row r="9" spans="1:26" hidden="1" x14ac:dyDescent="0.2">
      <c r="A9">
        <f>IF(C9&lt;&gt;"",ROWS($6:9),"")</f>
        <v>4</v>
      </c>
      <c r="B9" t="s">
        <v>0</v>
      </c>
      <c r="C9" s="2">
        <v>41334</v>
      </c>
      <c r="D9" s="1">
        <v>25662</v>
      </c>
      <c r="E9" s="1">
        <v>3849.3</v>
      </c>
      <c r="F9" s="1">
        <v>0</v>
      </c>
      <c r="G9" s="1">
        <f>E9-F9</f>
        <v>3849.3</v>
      </c>
      <c r="H9" s="1">
        <v>257</v>
      </c>
      <c r="K9" s="1">
        <v>3000</v>
      </c>
      <c r="L9" s="1">
        <v>11000</v>
      </c>
      <c r="N9" s="1">
        <f>G26+H9+I9+J9+K9+(L9-M9)</f>
        <v>100753.22</v>
      </c>
      <c r="O9" s="1">
        <f>G9+H9+I9+J9+K9+(L9-M9)</f>
        <v>18106.3</v>
      </c>
      <c r="P9" s="1">
        <v>125000</v>
      </c>
      <c r="Q9" s="3">
        <f t="shared" ref="Q9:R12" si="5">IF(I9&gt;0,1,0)</f>
        <v>0</v>
      </c>
      <c r="R9" s="3">
        <f t="shared" si="5"/>
        <v>0</v>
      </c>
      <c r="S9" s="3">
        <f>IF(K9&gt;0,1,NA())</f>
        <v>1</v>
      </c>
      <c r="Z9" s="2"/>
    </row>
    <row r="10" spans="1:26" hidden="1" x14ac:dyDescent="0.2">
      <c r="A10">
        <f>IF(C10&lt;&gt;"",ROWS($6:10),"")</f>
        <v>5</v>
      </c>
      <c r="B10" t="s">
        <v>0</v>
      </c>
      <c r="C10" s="2">
        <v>41365</v>
      </c>
      <c r="D10" s="1">
        <v>274179</v>
      </c>
      <c r="E10" s="1">
        <v>41126.85</v>
      </c>
      <c r="F10" s="1">
        <v>3247.89</v>
      </c>
      <c r="G10" s="1">
        <f>E10-F10</f>
        <v>37878.959999999999</v>
      </c>
      <c r="H10" s="1">
        <v>2742</v>
      </c>
      <c r="K10" s="1">
        <v>3000</v>
      </c>
      <c r="L10" s="1">
        <v>11000</v>
      </c>
      <c r="N10" s="1">
        <f>G9+H10+I10+J10+K10+(L10-M10)</f>
        <v>20591.3</v>
      </c>
      <c r="O10" s="1">
        <f>G10+H10+I10+J10+K10+(L10-M10)</f>
        <v>54620.959999999999</v>
      </c>
      <c r="P10" s="1">
        <v>140000</v>
      </c>
      <c r="Q10" s="3">
        <f t="shared" si="5"/>
        <v>0</v>
      </c>
      <c r="R10" s="3">
        <f t="shared" si="5"/>
        <v>0</v>
      </c>
      <c r="S10" s="3">
        <f>IF(K10&gt;0,1,NA())</f>
        <v>1</v>
      </c>
      <c r="Z10" s="2"/>
    </row>
    <row r="11" spans="1:26" hidden="1" x14ac:dyDescent="0.2">
      <c r="A11">
        <f>IF(C11&lt;&gt;"",ROWS($6:11),"")</f>
        <v>6</v>
      </c>
      <c r="B11" t="s">
        <v>0</v>
      </c>
      <c r="C11" s="2">
        <v>41395</v>
      </c>
      <c r="D11" s="1">
        <v>117616</v>
      </c>
      <c r="E11" s="1">
        <v>17642.400000000001</v>
      </c>
      <c r="F11" s="1">
        <v>3366.71</v>
      </c>
      <c r="G11" s="1">
        <f>E11-F11</f>
        <v>14275.690000000002</v>
      </c>
      <c r="H11" s="1">
        <v>1176</v>
      </c>
      <c r="K11" s="1">
        <v>3000</v>
      </c>
      <c r="L11" s="1">
        <v>11000</v>
      </c>
      <c r="N11" s="1">
        <f>G10+H11+I11+J11+K11+(L11-M11)</f>
        <v>53054.96</v>
      </c>
      <c r="O11" s="1">
        <f>G11+H11+I11+J11+K11+(L11-M11)</f>
        <v>29451.690000000002</v>
      </c>
      <c r="P11" s="1">
        <v>150000</v>
      </c>
      <c r="Q11" s="3">
        <f t="shared" si="5"/>
        <v>0</v>
      </c>
      <c r="R11" s="3">
        <f t="shared" si="5"/>
        <v>0</v>
      </c>
      <c r="S11" s="3">
        <f>IF(K11&gt;0,1,NA())</f>
        <v>1</v>
      </c>
    </row>
    <row r="12" spans="1:26" hidden="1" x14ac:dyDescent="0.2">
      <c r="A12">
        <f>IF(C12&lt;&gt;"",ROWS($6:26),"")</f>
        <v>21</v>
      </c>
      <c r="B12" t="s">
        <v>0</v>
      </c>
      <c r="C12" s="2">
        <v>41426</v>
      </c>
      <c r="D12" s="1">
        <v>71222</v>
      </c>
      <c r="E12" s="1">
        <v>10683.3</v>
      </c>
      <c r="F12" s="1">
        <v>2658.47</v>
      </c>
      <c r="G12" s="1">
        <f>E12-F12</f>
        <v>8024.83</v>
      </c>
      <c r="H12" s="1">
        <v>712</v>
      </c>
      <c r="K12" s="1">
        <v>3000</v>
      </c>
      <c r="L12" s="1">
        <v>11000</v>
      </c>
      <c r="N12" s="1">
        <f>G11+H12+I12+J12+K12+(L12-M12)</f>
        <v>28987.690000000002</v>
      </c>
      <c r="O12" s="1">
        <f>G12+H12+I12+J12+K12+(L12-M12)</f>
        <v>22736.83</v>
      </c>
      <c r="P12" s="1">
        <v>130000</v>
      </c>
      <c r="Q12" s="3">
        <f t="shared" si="5"/>
        <v>0</v>
      </c>
      <c r="R12" s="3">
        <f t="shared" si="5"/>
        <v>0</v>
      </c>
      <c r="S12" s="3">
        <f>IF(K12&gt;0,1,NA())</f>
        <v>1</v>
      </c>
    </row>
    <row r="13" spans="1:26" hidden="1" x14ac:dyDescent="0.2">
      <c r="A13">
        <f>IF(C13&lt;&gt;"",ROWS($6:13),"")</f>
        <v>8</v>
      </c>
      <c r="B13" t="s">
        <v>0</v>
      </c>
      <c r="C13" s="2">
        <v>41000</v>
      </c>
      <c r="D13" s="1">
        <v>602679</v>
      </c>
      <c r="E13" s="1">
        <v>90401.85</v>
      </c>
      <c r="F13" s="1">
        <v>5548.29</v>
      </c>
      <c r="G13" s="1">
        <f t="shared" si="0"/>
        <v>84853.560000000012</v>
      </c>
      <c r="H13" s="1">
        <v>6027</v>
      </c>
      <c r="L13" s="1">
        <v>11000</v>
      </c>
      <c r="N13" s="1">
        <f>G8+H13+I13+J13+K13+(L13-M13)</f>
        <v>83886.200000000012</v>
      </c>
      <c r="O13" s="1">
        <f t="shared" si="2"/>
        <v>101880.56000000001</v>
      </c>
      <c r="P13" s="1">
        <v>200000</v>
      </c>
      <c r="Q13" s="3">
        <f t="shared" si="3"/>
        <v>0</v>
      </c>
      <c r="R13" s="3">
        <f t="shared" si="3"/>
        <v>0</v>
      </c>
      <c r="S13" s="3" t="e">
        <f t="shared" si="4"/>
        <v>#N/A</v>
      </c>
      <c r="Z13" s="2"/>
    </row>
    <row r="14" spans="1:26" hidden="1" x14ac:dyDescent="0.2">
      <c r="A14">
        <f>IF(C14&lt;&gt;"",ROWS($6:14),"")</f>
        <v>9</v>
      </c>
      <c r="B14" t="s">
        <v>0</v>
      </c>
      <c r="C14" s="2">
        <v>41030</v>
      </c>
      <c r="D14" s="1">
        <v>376370.03</v>
      </c>
      <c r="E14" s="1">
        <v>56455.5</v>
      </c>
      <c r="F14" s="1">
        <v>0</v>
      </c>
      <c r="G14" s="1">
        <f t="shared" si="0"/>
        <v>56455.5</v>
      </c>
      <c r="H14" s="1">
        <v>3764</v>
      </c>
      <c r="L14" s="1">
        <v>11000</v>
      </c>
      <c r="N14" s="1">
        <f t="shared" si="1"/>
        <v>99617.560000000012</v>
      </c>
      <c r="O14" s="1">
        <f t="shared" si="2"/>
        <v>71219.5</v>
      </c>
      <c r="P14" s="1">
        <v>200000</v>
      </c>
      <c r="Q14" s="3">
        <f t="shared" si="3"/>
        <v>0</v>
      </c>
      <c r="R14" s="3">
        <f t="shared" si="3"/>
        <v>0</v>
      </c>
      <c r="S14" s="3" t="e">
        <f t="shared" si="4"/>
        <v>#N/A</v>
      </c>
      <c r="Z14" s="2"/>
    </row>
    <row r="15" spans="1:26" hidden="1" x14ac:dyDescent="0.2">
      <c r="A15">
        <f>IF(C15&lt;&gt;"",ROWS($6:15),"")</f>
        <v>10</v>
      </c>
      <c r="B15" t="s">
        <v>0</v>
      </c>
      <c r="C15" s="2">
        <v>41061</v>
      </c>
      <c r="D15" s="1">
        <v>766080.87</v>
      </c>
      <c r="E15" s="1">
        <v>114912.13</v>
      </c>
      <c r="F15" s="1">
        <v>2367.67</v>
      </c>
      <c r="G15" s="1">
        <f t="shared" si="0"/>
        <v>112544.46</v>
      </c>
      <c r="H15" s="1">
        <v>7661</v>
      </c>
      <c r="I15" s="1">
        <v>3500</v>
      </c>
      <c r="L15" s="1">
        <v>11000</v>
      </c>
      <c r="N15" s="1">
        <f t="shared" si="1"/>
        <v>78616.5</v>
      </c>
      <c r="O15" s="1">
        <f t="shared" si="2"/>
        <v>134705.46000000002</v>
      </c>
      <c r="P15" s="1">
        <v>125000</v>
      </c>
      <c r="Q15" s="3">
        <f t="shared" si="3"/>
        <v>1</v>
      </c>
      <c r="R15" s="3">
        <f t="shared" si="3"/>
        <v>0</v>
      </c>
      <c r="S15" s="3" t="e">
        <f t="shared" si="4"/>
        <v>#N/A</v>
      </c>
      <c r="V15">
        <f ca="1">OFFSET($C$6,0,0,COUNTA($C:$C)-1,1)</f>
        <v>41061</v>
      </c>
      <c r="Z15" s="2"/>
    </row>
    <row r="16" spans="1:26" hidden="1" x14ac:dyDescent="0.2">
      <c r="A16">
        <f>IF(C16&lt;&gt;"",ROWS($6:16),"")</f>
        <v>11</v>
      </c>
      <c r="B16" t="s">
        <v>0</v>
      </c>
      <c r="C16" s="2">
        <v>41091</v>
      </c>
      <c r="D16" s="1">
        <v>236789</v>
      </c>
      <c r="E16" s="1">
        <v>137618.74</v>
      </c>
      <c r="F16" s="1">
        <v>0</v>
      </c>
      <c r="G16" s="1">
        <f t="shared" si="0"/>
        <v>137618.74</v>
      </c>
      <c r="H16" s="1">
        <v>9175</v>
      </c>
      <c r="K16" s="1">
        <v>3000</v>
      </c>
      <c r="L16" s="1">
        <v>11000</v>
      </c>
      <c r="N16" s="1">
        <f t="shared" si="1"/>
        <v>135719.46000000002</v>
      </c>
      <c r="O16" s="1">
        <f t="shared" si="2"/>
        <v>160793.74</v>
      </c>
      <c r="P16" s="1">
        <v>140000</v>
      </c>
      <c r="Q16" s="3">
        <f t="shared" si="3"/>
        <v>0</v>
      </c>
      <c r="R16" s="3">
        <f t="shared" si="3"/>
        <v>0</v>
      </c>
      <c r="S16" s="3">
        <f t="shared" si="4"/>
        <v>1</v>
      </c>
      <c r="Z16" s="2"/>
    </row>
    <row r="17" spans="1:26" hidden="1" x14ac:dyDescent="0.2">
      <c r="A17">
        <f>IF(C17&lt;&gt;"",ROWS($6:17),"")</f>
        <v>12</v>
      </c>
      <c r="B17" t="s">
        <v>0</v>
      </c>
      <c r="C17" s="2">
        <v>41122</v>
      </c>
      <c r="D17" s="1">
        <v>713609.65</v>
      </c>
      <c r="E17" s="1">
        <v>107041.45</v>
      </c>
      <c r="F17" s="1">
        <v>531.61</v>
      </c>
      <c r="G17" s="1">
        <f t="shared" si="0"/>
        <v>106509.84</v>
      </c>
      <c r="H17" s="1">
        <v>7136</v>
      </c>
      <c r="K17" s="1">
        <v>3000</v>
      </c>
      <c r="L17" s="1">
        <v>11000</v>
      </c>
      <c r="N17" s="1">
        <f t="shared" si="1"/>
        <v>158754.74</v>
      </c>
      <c r="O17" s="1">
        <f t="shared" si="2"/>
        <v>127645.84</v>
      </c>
      <c r="P17" s="1">
        <v>150000</v>
      </c>
      <c r="Q17" s="3">
        <f t="shared" si="3"/>
        <v>0</v>
      </c>
      <c r="R17" s="3">
        <f t="shared" si="3"/>
        <v>0</v>
      </c>
      <c r="S17" s="3">
        <f t="shared" si="4"/>
        <v>1</v>
      </c>
      <c r="Z17" s="2"/>
    </row>
    <row r="18" spans="1:26" hidden="1" x14ac:dyDescent="0.2">
      <c r="A18">
        <f>IF(C18&lt;&gt;"",ROWS($6:18),"")</f>
        <v>13</v>
      </c>
      <c r="B18" t="s">
        <v>0</v>
      </c>
      <c r="C18" s="2">
        <v>41153</v>
      </c>
      <c r="D18" s="1">
        <v>620714</v>
      </c>
      <c r="E18" s="1">
        <v>93107.1</v>
      </c>
      <c r="F18" s="1">
        <v>233.52</v>
      </c>
      <c r="G18" s="1">
        <f t="shared" si="0"/>
        <v>92873.58</v>
      </c>
      <c r="H18" s="1">
        <v>6207</v>
      </c>
      <c r="K18" s="1">
        <v>3000</v>
      </c>
      <c r="L18" s="1">
        <v>11000</v>
      </c>
      <c r="M18" s="1">
        <v>446</v>
      </c>
      <c r="N18" s="1">
        <f>G17+H18+I18+J18+K18+(L18-M18)</f>
        <v>126270.84</v>
      </c>
      <c r="O18" s="1">
        <f t="shared" si="2"/>
        <v>112634.58</v>
      </c>
      <c r="P18" s="1">
        <v>130000</v>
      </c>
      <c r="Q18" s="3">
        <f t="shared" si="3"/>
        <v>0</v>
      </c>
      <c r="R18" s="3">
        <f t="shared" si="3"/>
        <v>0</v>
      </c>
      <c r="S18" s="3">
        <f t="shared" si="4"/>
        <v>1</v>
      </c>
      <c r="Z18" s="2"/>
    </row>
    <row r="19" spans="1:26" hidden="1" x14ac:dyDescent="0.2">
      <c r="A19">
        <f>IF(C19&lt;&gt;"",ROWS($6:19),"")</f>
        <v>14</v>
      </c>
      <c r="B19" t="s">
        <v>0</v>
      </c>
      <c r="C19" s="2">
        <v>41183</v>
      </c>
      <c r="D19" s="1">
        <v>616961</v>
      </c>
      <c r="E19" s="1">
        <v>92544.15</v>
      </c>
      <c r="F19" s="1">
        <v>449.78</v>
      </c>
      <c r="G19" s="1">
        <f t="shared" si="0"/>
        <v>92094.37</v>
      </c>
      <c r="H19" s="1">
        <v>6170</v>
      </c>
      <c r="K19" s="1">
        <v>3000</v>
      </c>
      <c r="L19" s="1">
        <v>11000</v>
      </c>
      <c r="N19" s="1">
        <f t="shared" si="1"/>
        <v>113043.58</v>
      </c>
      <c r="O19" s="1">
        <f t="shared" si="2"/>
        <v>112264.37</v>
      </c>
      <c r="P19" s="1">
        <v>150000</v>
      </c>
      <c r="Q19" s="3">
        <f t="shared" si="3"/>
        <v>0</v>
      </c>
      <c r="R19" s="3">
        <f t="shared" si="3"/>
        <v>0</v>
      </c>
      <c r="S19" s="3">
        <f t="shared" si="4"/>
        <v>1</v>
      </c>
      <c r="Z19" s="2"/>
    </row>
    <row r="20" spans="1:26" x14ac:dyDescent="0.2">
      <c r="A20">
        <f>IF(C20&lt;&gt;"",ROWS($6:47),"")</f>
        <v>42</v>
      </c>
      <c r="B20" t="s">
        <v>58</v>
      </c>
      <c r="C20" s="2">
        <v>41395</v>
      </c>
      <c r="D20" s="1">
        <v>236789</v>
      </c>
      <c r="E20" s="1">
        <v>137618.74</v>
      </c>
      <c r="F20" s="1">
        <v>0</v>
      </c>
      <c r="G20" s="1">
        <f>E20-F20</f>
        <v>137618.74</v>
      </c>
      <c r="H20" s="1">
        <v>9175</v>
      </c>
      <c r="K20" s="1">
        <v>3000</v>
      </c>
      <c r="L20" s="1">
        <v>11000</v>
      </c>
      <c r="N20" s="1">
        <f>G47+H20+I20+J20+K20+(L20-M20)</f>
        <v>30892.080000000002</v>
      </c>
      <c r="O20" s="1">
        <f>G20+H20+I20+J20+K20+(L20-M20)</f>
        <v>160793.74</v>
      </c>
      <c r="P20" s="1">
        <v>140000</v>
      </c>
      <c r="Q20" s="3" t="str">
        <f>IF(I20&gt;0,"Y","")</f>
        <v/>
      </c>
      <c r="R20" s="3" t="str">
        <f>IF(J20&gt;0,"Y","")</f>
        <v/>
      </c>
      <c r="S20" s="3" t="str">
        <f>IF(K20&gt;0,"Y","")</f>
        <v>Y</v>
      </c>
    </row>
    <row r="21" spans="1:26" hidden="1" x14ac:dyDescent="0.2">
      <c r="A21">
        <f>IF(C21&lt;&gt;"",ROWS($6:21),"")</f>
        <v>16</v>
      </c>
      <c r="B21" t="s">
        <v>0</v>
      </c>
      <c r="C21" s="2">
        <v>41214</v>
      </c>
      <c r="D21" s="1">
        <v>532768</v>
      </c>
      <c r="E21" s="1">
        <v>79915.199999999997</v>
      </c>
      <c r="F21" s="1">
        <v>614.55999999999995</v>
      </c>
      <c r="G21" s="1">
        <f t="shared" si="0"/>
        <v>79300.639999999999</v>
      </c>
      <c r="H21" s="1">
        <v>5328</v>
      </c>
      <c r="L21" s="1">
        <v>11000</v>
      </c>
      <c r="N21" s="1">
        <f>G19+H21+I21+J21+K21+(L21-M21)</f>
        <v>108422.37</v>
      </c>
      <c r="O21" s="1">
        <f t="shared" si="2"/>
        <v>95628.64</v>
      </c>
      <c r="P21" s="1">
        <v>150000</v>
      </c>
      <c r="Q21" s="3">
        <f t="shared" si="3"/>
        <v>0</v>
      </c>
      <c r="R21" s="3">
        <f t="shared" si="3"/>
        <v>0</v>
      </c>
      <c r="S21" s="3" t="e">
        <f t="shared" si="4"/>
        <v>#N/A</v>
      </c>
      <c r="Z21" s="2"/>
    </row>
    <row r="22" spans="1:26" hidden="1" x14ac:dyDescent="0.2">
      <c r="A22">
        <f>IF(C22&lt;&gt;"",ROWS($6:22),"")</f>
        <v>17</v>
      </c>
      <c r="B22" t="s">
        <v>0</v>
      </c>
      <c r="C22" s="2">
        <v>41244</v>
      </c>
      <c r="D22" s="1">
        <v>168125</v>
      </c>
      <c r="E22" s="1">
        <v>25218.75</v>
      </c>
      <c r="F22" s="1">
        <v>3752.24</v>
      </c>
      <c r="G22" s="1">
        <f t="shared" si="0"/>
        <v>21466.510000000002</v>
      </c>
      <c r="H22" s="1">
        <v>1681</v>
      </c>
      <c r="I22" s="1">
        <v>10000</v>
      </c>
      <c r="L22" s="1">
        <v>11000</v>
      </c>
      <c r="N22" s="1">
        <f t="shared" si="1"/>
        <v>101981.64</v>
      </c>
      <c r="O22" s="1">
        <f t="shared" si="2"/>
        <v>44147.51</v>
      </c>
      <c r="P22" s="1">
        <v>150000</v>
      </c>
      <c r="Q22" s="3">
        <f t="shared" si="3"/>
        <v>1</v>
      </c>
      <c r="R22" s="3">
        <f t="shared" si="3"/>
        <v>0</v>
      </c>
      <c r="S22" s="3" t="e">
        <f t="shared" si="4"/>
        <v>#N/A</v>
      </c>
      <c r="Z22" s="2"/>
    </row>
    <row r="23" spans="1:26" hidden="1" x14ac:dyDescent="0.2">
      <c r="A23">
        <f>IF(C23&lt;&gt;"",ROWS($6:37),"")</f>
        <v>32</v>
      </c>
      <c r="B23" t="s">
        <v>32</v>
      </c>
      <c r="C23" s="2">
        <v>41214</v>
      </c>
      <c r="D23" s="1">
        <v>532768</v>
      </c>
      <c r="E23" s="1">
        <v>79915.199999999997</v>
      </c>
      <c r="F23" s="1">
        <v>614.55999999999995</v>
      </c>
      <c r="G23" s="1">
        <f>E23-F23</f>
        <v>79300.639999999999</v>
      </c>
      <c r="H23" s="1">
        <v>5328</v>
      </c>
      <c r="L23" s="1">
        <v>11000</v>
      </c>
      <c r="N23" s="1">
        <f>G37+H23+I23+J23+K23+(L23-M23)</f>
        <v>108422.37</v>
      </c>
      <c r="O23" s="1">
        <f>G23+H23+I23+J23+K23+(L23-M23)</f>
        <v>95628.64</v>
      </c>
      <c r="P23" s="1">
        <v>150000</v>
      </c>
      <c r="Q23" s="3" t="str">
        <f>IF(I23&gt;0,"Y","")</f>
        <v/>
      </c>
      <c r="R23" s="3" t="str">
        <f>IF(J23&gt;0,"Y","")</f>
        <v/>
      </c>
      <c r="S23" s="3" t="str">
        <f>IF(K23&gt;0,"Y","")</f>
        <v/>
      </c>
      <c r="Z23" s="2"/>
    </row>
    <row r="24" spans="1:26" hidden="1" x14ac:dyDescent="0.2">
      <c r="A24">
        <f>IF(C24&lt;&gt;"",ROWS($6:24),"")</f>
        <v>19</v>
      </c>
      <c r="B24" t="s">
        <v>0</v>
      </c>
      <c r="C24" s="2">
        <v>41275</v>
      </c>
      <c r="D24" s="1">
        <v>80717</v>
      </c>
      <c r="E24" s="1">
        <v>12107.55</v>
      </c>
      <c r="F24" s="1">
        <v>2096.89</v>
      </c>
      <c r="G24" s="1">
        <f t="shared" si="0"/>
        <v>10010.66</v>
      </c>
      <c r="H24" s="1">
        <v>807</v>
      </c>
      <c r="K24" s="1">
        <v>3000</v>
      </c>
      <c r="L24" s="1">
        <v>11000</v>
      </c>
      <c r="M24" s="1">
        <v>1230</v>
      </c>
      <c r="N24" s="1">
        <f>G22+H24+I24+J24+K24+(L24-M24)</f>
        <v>35043.51</v>
      </c>
      <c r="O24" s="1">
        <f t="shared" si="2"/>
        <v>23587.66</v>
      </c>
      <c r="P24" s="1">
        <v>200000</v>
      </c>
      <c r="Q24" s="3">
        <f t="shared" si="3"/>
        <v>0</v>
      </c>
      <c r="R24" s="3">
        <f t="shared" si="3"/>
        <v>0</v>
      </c>
      <c r="S24" s="3">
        <f t="shared" si="4"/>
        <v>1</v>
      </c>
      <c r="Z24" s="2"/>
    </row>
    <row r="25" spans="1:26" hidden="1" x14ac:dyDescent="0.2">
      <c r="A25">
        <f>IF(C25&lt;&gt;"",ROWS($6:25),"")</f>
        <v>20</v>
      </c>
      <c r="B25" t="s">
        <v>32</v>
      </c>
      <c r="C25" s="2">
        <v>41365</v>
      </c>
      <c r="D25" s="1">
        <v>274179</v>
      </c>
      <c r="E25" s="1">
        <v>41126.85</v>
      </c>
      <c r="F25" s="1">
        <v>3247.89</v>
      </c>
      <c r="G25" s="1">
        <f t="shared" ref="G25" si="6">E25-F25</f>
        <v>37878.959999999999</v>
      </c>
      <c r="H25" s="1">
        <v>2742</v>
      </c>
      <c r="K25" s="1">
        <v>3000</v>
      </c>
      <c r="L25" s="1">
        <v>11000</v>
      </c>
      <c r="N25" s="1">
        <f t="shared" si="1"/>
        <v>26752.66</v>
      </c>
      <c r="O25" s="1">
        <f t="shared" ref="O25" si="7">G25+H25+I25+J25+K25+(L25-M25)</f>
        <v>54620.959999999999</v>
      </c>
      <c r="P25" s="1">
        <v>140000</v>
      </c>
      <c r="Q25" s="3" t="str">
        <f t="shared" ref="Q25" si="8">IF(I25&gt;0,"Y","")</f>
        <v/>
      </c>
      <c r="R25" s="3" t="str">
        <f t="shared" ref="R25" si="9">IF(J25&gt;0,"Y","")</f>
        <v/>
      </c>
      <c r="S25" s="3" t="str">
        <f t="shared" ref="S25" si="10">IF(K25&gt;0,"Y","")</f>
        <v>Y</v>
      </c>
      <c r="Z25" s="2"/>
    </row>
    <row r="26" spans="1:26" hidden="1" x14ac:dyDescent="0.2">
      <c r="A26">
        <f>IF(C26&lt;&gt;"",ROWS($6:26),"")</f>
        <v>21</v>
      </c>
      <c r="B26" t="s">
        <v>0</v>
      </c>
      <c r="C26" s="2">
        <v>41306</v>
      </c>
      <c r="D26" s="1">
        <v>587488</v>
      </c>
      <c r="E26" s="1">
        <v>88123.199999999997</v>
      </c>
      <c r="F26" s="1">
        <v>1626.98</v>
      </c>
      <c r="G26" s="1">
        <f t="shared" si="0"/>
        <v>86496.22</v>
      </c>
      <c r="H26" s="1">
        <v>5875</v>
      </c>
      <c r="K26" s="1">
        <v>3000</v>
      </c>
      <c r="L26" s="1">
        <v>11000</v>
      </c>
      <c r="N26" s="1">
        <f>G24+H26+I26+J26+K26+(L26-M26)</f>
        <v>29885.66</v>
      </c>
      <c r="O26" s="1">
        <f t="shared" si="2"/>
        <v>106371.22</v>
      </c>
      <c r="P26" s="1">
        <v>200000</v>
      </c>
      <c r="Q26" s="3">
        <f t="shared" si="3"/>
        <v>0</v>
      </c>
      <c r="R26" s="3">
        <f t="shared" si="3"/>
        <v>0</v>
      </c>
      <c r="S26" s="3">
        <f t="shared" si="4"/>
        <v>1</v>
      </c>
      <c r="Z26" s="2"/>
    </row>
    <row r="27" spans="1:26" hidden="1" x14ac:dyDescent="0.2">
      <c r="A27">
        <f>IF(C27&lt;&gt;"",ROWS($6:27),"")</f>
        <v>22</v>
      </c>
      <c r="B27" t="s">
        <v>0</v>
      </c>
      <c r="C27" s="2">
        <v>41456</v>
      </c>
      <c r="D27" s="1">
        <v>293795</v>
      </c>
      <c r="E27" s="1">
        <v>44069.25</v>
      </c>
      <c r="F27" s="1">
        <v>0</v>
      </c>
      <c r="G27" s="1">
        <f t="shared" si="0"/>
        <v>44069.25</v>
      </c>
      <c r="H27" s="1">
        <v>2938</v>
      </c>
      <c r="K27" s="1">
        <v>3000</v>
      </c>
      <c r="L27" s="1">
        <v>11000</v>
      </c>
      <c r="M27" s="1">
        <v>560</v>
      </c>
      <c r="N27" s="1">
        <f>G12+H27+I27+J27+K27+(L27-M27)</f>
        <v>24402.83</v>
      </c>
      <c r="O27" s="1">
        <f t="shared" si="2"/>
        <v>60447.25</v>
      </c>
      <c r="P27" s="1">
        <v>150000</v>
      </c>
      <c r="Q27" s="3">
        <f t="shared" si="3"/>
        <v>0</v>
      </c>
      <c r="R27" s="3">
        <f t="shared" si="3"/>
        <v>0</v>
      </c>
      <c r="S27" s="3">
        <f t="shared" si="4"/>
        <v>1</v>
      </c>
    </row>
    <row r="28" spans="1:26" hidden="1" x14ac:dyDescent="0.2">
      <c r="A28">
        <f>IF(C28&lt;&gt;"",ROWS($6:28),"")</f>
        <v>23</v>
      </c>
      <c r="B28" t="s">
        <v>0</v>
      </c>
      <c r="C28" s="2">
        <v>41487</v>
      </c>
      <c r="D28" s="1">
        <v>143540</v>
      </c>
      <c r="E28" s="1">
        <v>21531</v>
      </c>
      <c r="F28" s="1">
        <v>1820.53</v>
      </c>
      <c r="G28" s="1">
        <f t="shared" si="0"/>
        <v>19710.47</v>
      </c>
      <c r="H28" s="1">
        <v>1435</v>
      </c>
      <c r="K28" s="1">
        <v>3000</v>
      </c>
      <c r="L28" s="1">
        <v>11000</v>
      </c>
      <c r="N28" s="1">
        <f t="shared" si="1"/>
        <v>59504.25</v>
      </c>
      <c r="O28" s="1">
        <f t="shared" si="2"/>
        <v>35145.47</v>
      </c>
      <c r="P28" s="1">
        <v>150000</v>
      </c>
      <c r="Q28" s="3">
        <f t="shared" si="3"/>
        <v>0</v>
      </c>
      <c r="R28" s="3">
        <f t="shared" si="3"/>
        <v>0</v>
      </c>
      <c r="S28" s="3">
        <f t="shared" si="4"/>
        <v>1</v>
      </c>
    </row>
    <row r="29" spans="1:26" hidden="1" x14ac:dyDescent="0.2">
      <c r="A29">
        <f>IF(C29&lt;&gt;"",ROWS($6:37),"")</f>
        <v>32</v>
      </c>
      <c r="B29" t="s">
        <v>32</v>
      </c>
      <c r="C29" s="2">
        <v>41244</v>
      </c>
      <c r="D29" s="1">
        <v>169925</v>
      </c>
      <c r="E29" s="1">
        <v>25218.75</v>
      </c>
      <c r="F29" s="1">
        <v>3752.24</v>
      </c>
      <c r="G29" s="1">
        <f>E29-F29</f>
        <v>21466.510000000002</v>
      </c>
      <c r="H29" s="1">
        <v>1681</v>
      </c>
      <c r="I29" s="1">
        <v>10000</v>
      </c>
      <c r="L29" s="1">
        <v>11000</v>
      </c>
      <c r="N29" s="1">
        <f>G23+H29+I29+J29+K29+(L29-M29)</f>
        <v>101981.64</v>
      </c>
      <c r="O29" s="1">
        <f>G29+H29+I29+J29+K29+(L29-M29)</f>
        <v>44147.51</v>
      </c>
      <c r="P29" s="1">
        <v>150000</v>
      </c>
      <c r="Q29" s="3" t="str">
        <f>IF(I29&gt;0,"Y","")</f>
        <v>Y</v>
      </c>
      <c r="R29" s="3" t="str">
        <f>IF(J29&gt;0,"Y","")</f>
        <v/>
      </c>
      <c r="S29" s="3" t="str">
        <f>IF(K29&gt;0,"Y","")</f>
        <v/>
      </c>
    </row>
    <row r="30" spans="1:26" hidden="1" x14ac:dyDescent="0.2">
      <c r="A30">
        <f>IF(C30&lt;&gt;"",ROWS($6:30),"")</f>
        <v>25</v>
      </c>
      <c r="B30" t="s">
        <v>0</v>
      </c>
      <c r="C30" s="2">
        <v>41518</v>
      </c>
      <c r="D30" s="1">
        <v>122964</v>
      </c>
      <c r="E30" s="1">
        <v>18444.599999999999</v>
      </c>
      <c r="F30" s="1">
        <v>2909.42</v>
      </c>
      <c r="G30" s="1">
        <f t="shared" si="0"/>
        <v>15535.179999999998</v>
      </c>
      <c r="H30" s="1">
        <v>1230</v>
      </c>
      <c r="I30" s="1">
        <v>20000</v>
      </c>
      <c r="L30" s="1">
        <v>11000</v>
      </c>
      <c r="N30" s="1">
        <f>G28+H30+I30+J30+K30+(L30-M30)</f>
        <v>51940.47</v>
      </c>
      <c r="O30" s="1">
        <f t="shared" si="2"/>
        <v>47765.18</v>
      </c>
      <c r="P30" s="1">
        <v>150000</v>
      </c>
      <c r="Q30" s="3">
        <f t="shared" si="3"/>
        <v>1</v>
      </c>
      <c r="R30" s="3">
        <f t="shared" si="3"/>
        <v>0</v>
      </c>
      <c r="S30" s="3" t="e">
        <f t="shared" si="4"/>
        <v>#N/A</v>
      </c>
    </row>
    <row r="31" spans="1:26" hidden="1" x14ac:dyDescent="0.2">
      <c r="A31">
        <f>IF(C31&lt;&gt;"",ROWS($6:31),"")</f>
        <v>26</v>
      </c>
      <c r="B31" t="s">
        <v>0</v>
      </c>
      <c r="C31" s="2">
        <v>41548</v>
      </c>
      <c r="D31" s="1">
        <v>32476</v>
      </c>
      <c r="E31" s="1">
        <v>4871.3999999999996</v>
      </c>
      <c r="F31" s="1">
        <v>1017.06</v>
      </c>
      <c r="G31" s="1">
        <f t="shared" si="0"/>
        <v>3854.3399999999997</v>
      </c>
      <c r="H31" s="1">
        <v>325</v>
      </c>
      <c r="L31" s="1">
        <v>11000</v>
      </c>
      <c r="N31" s="1">
        <f t="shared" si="1"/>
        <v>26860.18</v>
      </c>
      <c r="O31" s="1">
        <f t="shared" si="2"/>
        <v>15179.34</v>
      </c>
      <c r="P31" s="1">
        <v>200000</v>
      </c>
      <c r="Q31" s="3">
        <f t="shared" si="3"/>
        <v>0</v>
      </c>
      <c r="R31" s="3">
        <f t="shared" si="3"/>
        <v>0</v>
      </c>
      <c r="S31" s="3" t="e">
        <f t="shared" si="4"/>
        <v>#N/A</v>
      </c>
    </row>
    <row r="32" spans="1:26" hidden="1" x14ac:dyDescent="0.2">
      <c r="A32">
        <f>IF(C32&lt;&gt;"",ROWS($6:32),"")</f>
        <v>27</v>
      </c>
      <c r="B32" t="s">
        <v>0</v>
      </c>
      <c r="C32" s="2">
        <v>41579</v>
      </c>
      <c r="D32" s="1">
        <v>90440</v>
      </c>
      <c r="E32" s="1">
        <v>13566</v>
      </c>
      <c r="F32" s="1">
        <v>3905.44</v>
      </c>
      <c r="G32" s="1">
        <f t="shared" si="0"/>
        <v>9660.56</v>
      </c>
      <c r="H32" s="1">
        <v>904</v>
      </c>
      <c r="K32" s="1">
        <v>3000</v>
      </c>
      <c r="L32" s="1">
        <v>11000</v>
      </c>
      <c r="N32" s="1">
        <f t="shared" si="1"/>
        <v>18758.34</v>
      </c>
      <c r="O32" s="1">
        <f t="shared" si="2"/>
        <v>24564.559999999998</v>
      </c>
      <c r="P32" s="1">
        <v>200000</v>
      </c>
      <c r="Q32" s="3">
        <f t="shared" si="3"/>
        <v>0</v>
      </c>
      <c r="R32" s="3">
        <f t="shared" si="3"/>
        <v>0</v>
      </c>
      <c r="S32" s="3">
        <f t="shared" si="4"/>
        <v>1</v>
      </c>
    </row>
    <row r="33" spans="1:19" hidden="1" x14ac:dyDescent="0.2">
      <c r="A33">
        <f>IF(C33&lt;&gt;"",ROWS($6:33),"")</f>
        <v>28</v>
      </c>
      <c r="B33" t="s">
        <v>0</v>
      </c>
      <c r="C33" s="2">
        <v>41609</v>
      </c>
      <c r="D33" s="1">
        <v>76212</v>
      </c>
      <c r="E33" s="1">
        <v>11431.8</v>
      </c>
      <c r="F33" s="1">
        <v>3714.72</v>
      </c>
      <c r="G33" s="1">
        <f t="shared" si="0"/>
        <v>7717.08</v>
      </c>
      <c r="H33" s="1">
        <v>762</v>
      </c>
      <c r="I33" s="1">
        <v>5000</v>
      </c>
      <c r="J33" s="1">
        <v>20000</v>
      </c>
      <c r="K33" s="1">
        <v>3000</v>
      </c>
      <c r="L33" s="1">
        <v>11000</v>
      </c>
      <c r="N33" s="1">
        <f t="shared" si="1"/>
        <v>49422.559999999998</v>
      </c>
      <c r="O33" s="1">
        <f t="shared" si="2"/>
        <v>47479.08</v>
      </c>
      <c r="P33" s="1">
        <v>125000</v>
      </c>
      <c r="Q33" s="3">
        <f t="shared" si="3"/>
        <v>1</v>
      </c>
      <c r="R33" s="3">
        <f t="shared" si="3"/>
        <v>1</v>
      </c>
      <c r="S33" s="3">
        <f t="shared" si="4"/>
        <v>1</v>
      </c>
    </row>
    <row r="34" spans="1:19" hidden="1" x14ac:dyDescent="0.2">
      <c r="A34">
        <f>IF(C34&lt;&gt;"",ROWS($6:34),"")</f>
        <v>29</v>
      </c>
      <c r="B34" t="s">
        <v>32</v>
      </c>
      <c r="C34" s="2">
        <v>41091</v>
      </c>
      <c r="D34" s="1">
        <v>236789</v>
      </c>
      <c r="E34" s="1">
        <v>137618.74</v>
      </c>
      <c r="F34" s="1">
        <v>0</v>
      </c>
      <c r="G34" s="1">
        <f t="shared" si="0"/>
        <v>137618.74</v>
      </c>
      <c r="H34" s="1">
        <v>9175</v>
      </c>
      <c r="K34" s="1">
        <v>3000</v>
      </c>
      <c r="L34" s="1">
        <v>11000</v>
      </c>
      <c r="N34" s="1">
        <f>G33+H34+I34+J34+K34+(L34-M34)</f>
        <v>30892.080000000002</v>
      </c>
      <c r="O34" s="1">
        <f t="shared" si="2"/>
        <v>160793.74</v>
      </c>
      <c r="P34" s="1">
        <v>140000</v>
      </c>
      <c r="Q34" s="3" t="str">
        <f t="shared" ref="Q34:S45" si="11">IF(I34&gt;0,"Y","")</f>
        <v/>
      </c>
      <c r="R34" s="3" t="str">
        <f t="shared" si="11"/>
        <v/>
      </c>
      <c r="S34" s="3" t="str">
        <f t="shared" si="11"/>
        <v>Y</v>
      </c>
    </row>
    <row r="35" spans="1:19" hidden="1" x14ac:dyDescent="0.2">
      <c r="A35">
        <f>IF(C35&lt;&gt;"",ROWS($6:35),"")</f>
        <v>30</v>
      </c>
      <c r="B35" t="s">
        <v>32</v>
      </c>
      <c r="C35" s="2">
        <v>41122</v>
      </c>
      <c r="D35" s="1">
        <v>713609.65</v>
      </c>
      <c r="E35" s="1">
        <v>107041.45</v>
      </c>
      <c r="F35" s="1">
        <v>531.61</v>
      </c>
      <c r="G35" s="1">
        <f t="shared" si="0"/>
        <v>106509.84</v>
      </c>
      <c r="H35" s="1">
        <v>7136</v>
      </c>
      <c r="K35" s="1">
        <v>3000</v>
      </c>
      <c r="L35" s="1">
        <v>11000</v>
      </c>
      <c r="N35" s="1">
        <f t="shared" ref="N35:N45" si="12">G34+H35+I35+J35+K35+(L35-M35)</f>
        <v>158754.74</v>
      </c>
      <c r="O35" s="1">
        <f t="shared" si="2"/>
        <v>127645.84</v>
      </c>
      <c r="P35" s="1">
        <v>150000</v>
      </c>
      <c r="Q35" s="3" t="str">
        <f t="shared" si="11"/>
        <v/>
      </c>
      <c r="R35" s="3" t="str">
        <f t="shared" si="11"/>
        <v/>
      </c>
      <c r="S35" s="3" t="str">
        <f t="shared" si="11"/>
        <v>Y</v>
      </c>
    </row>
    <row r="36" spans="1:19" hidden="1" x14ac:dyDescent="0.2">
      <c r="A36">
        <f>IF(C36&lt;&gt;"",ROWS($6:36),"")</f>
        <v>31</v>
      </c>
      <c r="B36" t="s">
        <v>32</v>
      </c>
      <c r="C36" s="2">
        <v>41153</v>
      </c>
      <c r="D36" s="1">
        <v>620714</v>
      </c>
      <c r="E36" s="1">
        <v>93107.1</v>
      </c>
      <c r="F36" s="1">
        <v>233.52</v>
      </c>
      <c r="G36" s="1">
        <f t="shared" si="0"/>
        <v>92873.58</v>
      </c>
      <c r="H36" s="1">
        <v>6207</v>
      </c>
      <c r="K36" s="1">
        <v>3000</v>
      </c>
      <c r="L36" s="1">
        <v>11000</v>
      </c>
      <c r="M36" s="1">
        <v>446</v>
      </c>
      <c r="N36" s="1">
        <f t="shared" si="12"/>
        <v>126270.84</v>
      </c>
      <c r="O36" s="1">
        <f t="shared" si="2"/>
        <v>112634.58</v>
      </c>
      <c r="P36" s="1">
        <v>130000</v>
      </c>
      <c r="Q36" s="3" t="str">
        <f t="shared" si="11"/>
        <v/>
      </c>
      <c r="R36" s="3" t="str">
        <f t="shared" si="11"/>
        <v/>
      </c>
      <c r="S36" s="3" t="str">
        <f t="shared" si="11"/>
        <v>Y</v>
      </c>
    </row>
    <row r="37" spans="1:19" hidden="1" x14ac:dyDescent="0.2">
      <c r="A37">
        <f>IF(C37&lt;&gt;"",ROWS($6:37),"")</f>
        <v>32</v>
      </c>
      <c r="B37" t="s">
        <v>32</v>
      </c>
      <c r="C37" s="2">
        <v>41183</v>
      </c>
      <c r="D37" s="1">
        <v>616961</v>
      </c>
      <c r="E37" s="1">
        <v>92544.15</v>
      </c>
      <c r="F37" s="1">
        <v>449.78</v>
      </c>
      <c r="G37" s="1">
        <f t="shared" si="0"/>
        <v>92094.37</v>
      </c>
      <c r="H37" s="1">
        <v>6170</v>
      </c>
      <c r="K37" s="1">
        <v>3000</v>
      </c>
      <c r="L37" s="1">
        <v>11000</v>
      </c>
      <c r="N37" s="1">
        <f t="shared" si="12"/>
        <v>113043.58</v>
      </c>
      <c r="O37" s="1">
        <f t="shared" si="2"/>
        <v>112264.37</v>
      </c>
      <c r="P37" s="1">
        <v>150000</v>
      </c>
      <c r="Q37" s="3" t="str">
        <f t="shared" si="11"/>
        <v/>
      </c>
      <c r="R37" s="3" t="str">
        <f t="shared" si="11"/>
        <v/>
      </c>
      <c r="S37" s="3" t="str">
        <f t="shared" si="11"/>
        <v>Y</v>
      </c>
    </row>
    <row r="38" spans="1:19" hidden="1" x14ac:dyDescent="0.2">
      <c r="A38">
        <f>IF(C38&lt;&gt;"",ROWS($6:38),"")</f>
        <v>33</v>
      </c>
      <c r="B38" t="s">
        <v>32</v>
      </c>
      <c r="C38" s="2">
        <v>41275</v>
      </c>
      <c r="D38" s="1">
        <v>80717</v>
      </c>
      <c r="E38" s="1">
        <v>12107.55</v>
      </c>
      <c r="F38" s="1">
        <v>2096.89</v>
      </c>
      <c r="G38" s="1">
        <f t="shared" si="0"/>
        <v>10010.66</v>
      </c>
      <c r="H38" s="1">
        <v>807</v>
      </c>
      <c r="K38" s="1">
        <v>3000</v>
      </c>
      <c r="L38" s="1">
        <v>11000</v>
      </c>
      <c r="M38" s="1">
        <v>1230</v>
      </c>
      <c r="N38" s="1">
        <f>G29+H38+I38+J38+K38+(L38-M38)</f>
        <v>35043.51</v>
      </c>
      <c r="O38" s="1">
        <f t="shared" si="2"/>
        <v>23587.66</v>
      </c>
      <c r="P38" s="1">
        <v>200000</v>
      </c>
      <c r="Q38" s="3" t="str">
        <f t="shared" si="11"/>
        <v/>
      </c>
      <c r="R38" s="3" t="str">
        <f t="shared" si="11"/>
        <v/>
      </c>
      <c r="S38" s="3" t="str">
        <f t="shared" si="11"/>
        <v>Y</v>
      </c>
    </row>
    <row r="39" spans="1:19" hidden="1" x14ac:dyDescent="0.2">
      <c r="A39">
        <f>IF(C39&lt;&gt;"",ROWS($6:39),"")</f>
        <v>34</v>
      </c>
      <c r="B39" t="s">
        <v>32</v>
      </c>
      <c r="C39" s="2">
        <v>41306</v>
      </c>
      <c r="D39" s="1">
        <v>587488</v>
      </c>
      <c r="E39" s="1">
        <v>88123.199999999997</v>
      </c>
      <c r="F39" s="1">
        <v>1626.98</v>
      </c>
      <c r="G39" s="1">
        <f t="shared" si="0"/>
        <v>86496.22</v>
      </c>
      <c r="H39" s="1">
        <v>5875</v>
      </c>
      <c r="K39" s="1">
        <v>3000</v>
      </c>
      <c r="L39" s="1">
        <v>11000</v>
      </c>
      <c r="N39" s="1">
        <f t="shared" si="12"/>
        <v>29885.66</v>
      </c>
      <c r="O39" s="1">
        <f t="shared" si="2"/>
        <v>106371.22</v>
      </c>
      <c r="P39" s="1">
        <v>200000</v>
      </c>
      <c r="Q39" s="3" t="str">
        <f t="shared" si="11"/>
        <v/>
      </c>
      <c r="R39" s="3" t="str">
        <f t="shared" si="11"/>
        <v/>
      </c>
      <c r="S39" s="3" t="str">
        <f t="shared" si="11"/>
        <v>Y</v>
      </c>
    </row>
    <row r="40" spans="1:19" x14ac:dyDescent="0.2">
      <c r="A40">
        <f>IF(C40&lt;&gt;"",ROWS($6:46),"")</f>
        <v>41</v>
      </c>
      <c r="B40" t="s">
        <v>58</v>
      </c>
      <c r="C40" s="2">
        <v>41275</v>
      </c>
      <c r="D40" s="1">
        <v>122964</v>
      </c>
      <c r="E40" s="1">
        <v>18444.599999999999</v>
      </c>
      <c r="F40" s="1">
        <v>2909.42</v>
      </c>
      <c r="G40" s="1">
        <f>E40-F40</f>
        <v>15535.179999999998</v>
      </c>
      <c r="H40" s="1">
        <v>1230</v>
      </c>
      <c r="I40" s="1">
        <v>20000</v>
      </c>
      <c r="L40" s="1">
        <v>11000</v>
      </c>
      <c r="N40" s="1">
        <f>G45+H40+I40+J40+K40+(L40-M40)</f>
        <v>51940.47</v>
      </c>
      <c r="O40" s="1">
        <f>G40+H40+I40+J40+K40+(L40-M40)</f>
        <v>47765.18</v>
      </c>
      <c r="P40" s="1">
        <v>150000</v>
      </c>
      <c r="Q40" s="3">
        <f>IF(I40&gt;0,1,0)</f>
        <v>1</v>
      </c>
      <c r="R40" s="3">
        <f>IF(J40&gt;0,1,0)</f>
        <v>0</v>
      </c>
      <c r="S40" s="3" t="str">
        <f>IF(K40&gt;0,"Y","")</f>
        <v/>
      </c>
    </row>
    <row r="41" spans="1:19" hidden="1" x14ac:dyDescent="0.2">
      <c r="A41">
        <f>IF(C41&lt;&gt;"",ROWS($6:41),"")</f>
        <v>36</v>
      </c>
      <c r="B41" t="s">
        <v>32</v>
      </c>
      <c r="C41" s="2">
        <v>41334</v>
      </c>
      <c r="D41" s="1">
        <v>32117</v>
      </c>
      <c r="E41" s="1">
        <v>3849.3</v>
      </c>
      <c r="F41" s="1">
        <v>0</v>
      </c>
      <c r="G41" s="1">
        <f t="shared" si="0"/>
        <v>3849.3</v>
      </c>
      <c r="H41" s="1">
        <v>257</v>
      </c>
      <c r="K41" s="1">
        <v>3000</v>
      </c>
      <c r="L41" s="1">
        <v>11000</v>
      </c>
      <c r="N41" s="1">
        <f>G39+H41+I41+J41+K41+(L41-M41)</f>
        <v>100753.22</v>
      </c>
      <c r="O41" s="1">
        <f t="shared" si="2"/>
        <v>18106.3</v>
      </c>
      <c r="P41" s="1">
        <v>125000</v>
      </c>
      <c r="Q41" s="3" t="str">
        <f t="shared" si="11"/>
        <v/>
      </c>
      <c r="R41" s="3" t="str">
        <f t="shared" si="11"/>
        <v/>
      </c>
      <c r="S41" s="3" t="str">
        <f t="shared" si="11"/>
        <v>Y</v>
      </c>
    </row>
    <row r="42" spans="1:19" hidden="1" x14ac:dyDescent="0.2">
      <c r="A42">
        <f>IF(C42&lt;&gt;"",ROWS($6:42),"")</f>
        <v>37</v>
      </c>
      <c r="B42" t="s">
        <v>32</v>
      </c>
      <c r="C42" s="2">
        <v>41395</v>
      </c>
      <c r="D42" s="1">
        <v>117616</v>
      </c>
      <c r="E42" s="1">
        <v>17642.400000000001</v>
      </c>
      <c r="F42" s="1">
        <v>3366.71</v>
      </c>
      <c r="G42" s="1">
        <f t="shared" si="0"/>
        <v>14275.690000000002</v>
      </c>
      <c r="H42" s="1">
        <v>1176</v>
      </c>
      <c r="K42" s="1">
        <v>3000</v>
      </c>
      <c r="L42" s="1">
        <v>11000</v>
      </c>
      <c r="N42" s="1">
        <f t="shared" si="12"/>
        <v>19025.3</v>
      </c>
      <c r="O42" s="1">
        <f t="shared" si="2"/>
        <v>29451.690000000002</v>
      </c>
      <c r="P42" s="1">
        <v>150000</v>
      </c>
      <c r="Q42" s="3" t="str">
        <f t="shared" si="11"/>
        <v/>
      </c>
      <c r="R42" s="3" t="str">
        <f t="shared" si="11"/>
        <v/>
      </c>
      <c r="S42" s="3" t="str">
        <f t="shared" si="11"/>
        <v>Y</v>
      </c>
    </row>
    <row r="43" spans="1:19" hidden="1" x14ac:dyDescent="0.2">
      <c r="A43">
        <f>IF(C43&lt;&gt;"",ROWS($6:43),"")</f>
        <v>38</v>
      </c>
      <c r="B43" t="s">
        <v>32</v>
      </c>
      <c r="C43" s="2">
        <v>41426</v>
      </c>
      <c r="D43" s="1">
        <v>71222</v>
      </c>
      <c r="E43" s="1">
        <v>10683.3</v>
      </c>
      <c r="F43" s="1">
        <v>2658.47</v>
      </c>
      <c r="G43" s="1">
        <f t="shared" si="0"/>
        <v>8024.83</v>
      </c>
      <c r="H43" s="1">
        <v>712</v>
      </c>
      <c r="K43" s="1">
        <v>3000</v>
      </c>
      <c r="L43" s="1">
        <v>11000</v>
      </c>
      <c r="N43" s="1">
        <f t="shared" si="12"/>
        <v>28987.690000000002</v>
      </c>
      <c r="O43" s="1">
        <f t="shared" si="2"/>
        <v>22736.83</v>
      </c>
      <c r="P43" s="1">
        <v>130000</v>
      </c>
      <c r="Q43" s="3" t="str">
        <f t="shared" si="11"/>
        <v/>
      </c>
      <c r="R43" s="3" t="str">
        <f t="shared" si="11"/>
        <v/>
      </c>
      <c r="S43" s="3" t="str">
        <f t="shared" si="11"/>
        <v>Y</v>
      </c>
    </row>
    <row r="44" spans="1:19" hidden="1" x14ac:dyDescent="0.2">
      <c r="A44">
        <f>IF(C44&lt;&gt;"",ROWS($6:44),"")</f>
        <v>39</v>
      </c>
      <c r="B44" t="s">
        <v>32</v>
      </c>
      <c r="C44" s="2">
        <v>41456</v>
      </c>
      <c r="D44" s="1">
        <v>293795</v>
      </c>
      <c r="E44" s="1">
        <v>44069.25</v>
      </c>
      <c r="F44" s="1">
        <v>0</v>
      </c>
      <c r="G44" s="1">
        <f t="shared" si="0"/>
        <v>44069.25</v>
      </c>
      <c r="H44" s="1">
        <v>2938</v>
      </c>
      <c r="K44" s="1">
        <v>3000</v>
      </c>
      <c r="L44" s="1">
        <v>11000</v>
      </c>
      <c r="M44" s="1">
        <v>560</v>
      </c>
      <c r="N44" s="1">
        <f t="shared" si="12"/>
        <v>24402.83</v>
      </c>
      <c r="O44" s="1">
        <f t="shared" si="2"/>
        <v>60447.25</v>
      </c>
      <c r="P44" s="1">
        <v>150000</v>
      </c>
      <c r="Q44" s="3" t="str">
        <f t="shared" si="11"/>
        <v/>
      </c>
      <c r="R44" s="3" t="str">
        <f t="shared" si="11"/>
        <v/>
      </c>
      <c r="S44" s="3" t="str">
        <f t="shared" si="11"/>
        <v>Y</v>
      </c>
    </row>
    <row r="45" spans="1:19" hidden="1" x14ac:dyDescent="0.2">
      <c r="A45">
        <f>IF(C45&lt;&gt;"",ROWS($6:45),"")</f>
        <v>40</v>
      </c>
      <c r="B45" t="s">
        <v>32</v>
      </c>
      <c r="C45" s="2">
        <v>41487</v>
      </c>
      <c r="D45" s="1">
        <v>143540</v>
      </c>
      <c r="E45" s="1">
        <v>21531</v>
      </c>
      <c r="F45" s="1">
        <v>1820.53</v>
      </c>
      <c r="G45" s="1">
        <f t="shared" si="0"/>
        <v>19710.47</v>
      </c>
      <c r="H45" s="1">
        <v>1435</v>
      </c>
      <c r="K45" s="1">
        <v>3000</v>
      </c>
      <c r="L45" s="1">
        <v>11000</v>
      </c>
      <c r="N45" s="1">
        <f t="shared" si="12"/>
        <v>59504.25</v>
      </c>
      <c r="O45" s="1">
        <f t="shared" si="2"/>
        <v>35145.47</v>
      </c>
      <c r="P45" s="1">
        <v>150000</v>
      </c>
      <c r="Q45" s="3" t="str">
        <f t="shared" si="11"/>
        <v/>
      </c>
      <c r="R45" s="3" t="str">
        <f t="shared" si="11"/>
        <v/>
      </c>
      <c r="S45" s="3" t="str">
        <f t="shared" si="11"/>
        <v>Y</v>
      </c>
    </row>
    <row r="46" spans="1:19" x14ac:dyDescent="0.2">
      <c r="A46">
        <f>IF(C46&lt;&gt;"",ROWS($6:46),"")</f>
        <v>41</v>
      </c>
      <c r="B46" t="s">
        <v>58</v>
      </c>
      <c r="C46" s="2">
        <v>41244</v>
      </c>
      <c r="D46" s="1">
        <v>169925</v>
      </c>
      <c r="E46" s="1">
        <v>25218.75</v>
      </c>
      <c r="F46" s="1">
        <v>3752.24</v>
      </c>
      <c r="G46" s="1">
        <f>E46-F46</f>
        <v>21466.510000000002</v>
      </c>
      <c r="H46" s="1">
        <v>1681</v>
      </c>
      <c r="I46" s="1">
        <v>10000</v>
      </c>
      <c r="L46" s="1">
        <v>11000</v>
      </c>
      <c r="N46" s="1">
        <f>G39+H46+I46+J46+K46+(L46-M46)</f>
        <v>109177.22</v>
      </c>
      <c r="O46" s="1">
        <f>G46+H46+I46+J46+K46+(L46-M46)</f>
        <v>44147.51</v>
      </c>
      <c r="P46" s="1">
        <v>150000</v>
      </c>
      <c r="Q46" s="3" t="str">
        <f>IF(I46&gt;0,"Y","")</f>
        <v>Y</v>
      </c>
      <c r="R46" s="3" t="str">
        <f>IF(J46&gt;0,"Y","")</f>
        <v/>
      </c>
      <c r="S46" s="3" t="str">
        <f>IF(K46&gt;0,"Y","")</f>
        <v/>
      </c>
    </row>
    <row r="47" spans="1:19" x14ac:dyDescent="0.2">
      <c r="A47">
        <f>IF(C47&lt;&gt;"",ROWS($6:47),"")</f>
        <v>42</v>
      </c>
      <c r="B47" t="s">
        <v>58</v>
      </c>
      <c r="C47" s="2">
        <v>41365</v>
      </c>
      <c r="D47" s="1">
        <v>76212</v>
      </c>
      <c r="E47" s="1">
        <v>11431.8</v>
      </c>
      <c r="F47" s="1">
        <v>3714.72</v>
      </c>
      <c r="G47" s="1">
        <f t="shared" ref="G47:G48" si="13">E47-F47</f>
        <v>7717.08</v>
      </c>
      <c r="H47" s="1">
        <v>762</v>
      </c>
      <c r="I47" s="1">
        <v>5000</v>
      </c>
      <c r="J47" s="1">
        <v>20000</v>
      </c>
      <c r="K47" s="1">
        <v>3000</v>
      </c>
      <c r="L47" s="1">
        <v>11000</v>
      </c>
      <c r="N47" s="1">
        <v>51940.47</v>
      </c>
      <c r="O47" s="1">
        <f t="shared" ref="O47:O48" si="14">G47+H47+I47+J47+K47+(L47-M47)</f>
        <v>47479.08</v>
      </c>
      <c r="P47" s="1">
        <v>125000</v>
      </c>
      <c r="Q47" s="3">
        <f t="shared" ref="Q47" si="15">IF(I47&gt;0,1,0)</f>
        <v>1</v>
      </c>
      <c r="R47" s="3">
        <f t="shared" ref="R47" si="16">IF(J47&gt;0,1,0)</f>
        <v>1</v>
      </c>
      <c r="S47" s="3">
        <f t="shared" ref="S47" si="17">IF(K47&gt;0,1,NA())</f>
        <v>1</v>
      </c>
    </row>
    <row r="48" spans="1:19" x14ac:dyDescent="0.2">
      <c r="A48">
        <f>IF(C48&lt;&gt;"",ROWS($6:48),"")</f>
        <v>43</v>
      </c>
      <c r="B48" t="s">
        <v>58</v>
      </c>
      <c r="C48" s="2">
        <v>41426</v>
      </c>
      <c r="D48" s="1">
        <v>416558</v>
      </c>
      <c r="E48" s="1">
        <v>107041.45</v>
      </c>
      <c r="F48" s="1">
        <v>531.61</v>
      </c>
      <c r="G48" s="1">
        <f t="shared" si="13"/>
        <v>106509.84</v>
      </c>
      <c r="H48" s="1">
        <v>7136</v>
      </c>
      <c r="K48" s="1">
        <v>3000</v>
      </c>
      <c r="L48" s="1">
        <v>11000</v>
      </c>
      <c r="N48" s="1">
        <f>G20+H48+I48+J48+K48+(L48-M48)</f>
        <v>158754.74</v>
      </c>
      <c r="O48" s="1">
        <f t="shared" si="14"/>
        <v>127645.84</v>
      </c>
      <c r="P48" s="1">
        <v>150000</v>
      </c>
      <c r="Q48" s="3" t="str">
        <f t="shared" ref="Q48" si="18">IF(I48&gt;0,"Y","")</f>
        <v/>
      </c>
      <c r="R48" s="3" t="str">
        <f t="shared" ref="R48" si="19">IF(J48&gt;0,"Y","")</f>
        <v/>
      </c>
      <c r="S48" s="3"/>
    </row>
    <row r="49" spans="1:19" hidden="1" x14ac:dyDescent="0.2">
      <c r="A49" t="str">
        <f>IF(C49&lt;&gt;"",ROWS($6:49),"")</f>
        <v/>
      </c>
      <c r="C49" s="2"/>
      <c r="O49" s="1"/>
      <c r="Q49" s="3"/>
      <c r="R49" s="3"/>
      <c r="S49" s="3"/>
    </row>
    <row r="50" spans="1:19" hidden="1" x14ac:dyDescent="0.2">
      <c r="A50" t="str">
        <f>IF(C50&lt;&gt;"",ROWS($6:50),"")</f>
        <v/>
      </c>
      <c r="C50" s="2"/>
      <c r="O50" s="1"/>
      <c r="Q50" s="3"/>
      <c r="R50" s="3"/>
      <c r="S50" s="3"/>
    </row>
    <row r="51" spans="1:19" hidden="1" x14ac:dyDescent="0.2">
      <c r="A51" t="str">
        <f>IF(C51&lt;&gt;"",ROWS($6:51),"")</f>
        <v/>
      </c>
      <c r="C51" s="2"/>
      <c r="O51" s="1"/>
      <c r="Q51" s="3"/>
      <c r="R51" s="3"/>
      <c r="S51" s="3"/>
    </row>
    <row r="52" spans="1:19" hidden="1" x14ac:dyDescent="0.2">
      <c r="A52" t="str">
        <f>IF(C52&lt;&gt;"",ROWS($6:52),"")</f>
        <v/>
      </c>
      <c r="C52" s="2"/>
      <c r="O52" s="1"/>
      <c r="Q52" s="3"/>
      <c r="R52" s="3"/>
      <c r="S52" s="3"/>
    </row>
    <row r="53" spans="1:19" hidden="1" x14ac:dyDescent="0.2">
      <c r="A53" t="str">
        <f>IF(C53&lt;&gt;"",ROWS($6:53),"")</f>
        <v/>
      </c>
      <c r="C53" s="2"/>
      <c r="O53" s="1"/>
      <c r="Q53" s="3"/>
      <c r="R53" s="3"/>
      <c r="S53" s="3"/>
    </row>
    <row r="54" spans="1:19" hidden="1" x14ac:dyDescent="0.2">
      <c r="A54" t="str">
        <f>IF(C54&lt;&gt;"",ROWS($6:54),"")</f>
        <v/>
      </c>
      <c r="C54" s="2"/>
      <c r="O54" s="1"/>
      <c r="Q54" s="3"/>
      <c r="R54" s="3"/>
      <c r="S54" s="3"/>
    </row>
    <row r="55" spans="1:19" hidden="1" x14ac:dyDescent="0.2">
      <c r="A55" t="str">
        <f>IF(C55&lt;&gt;"",ROWS($6:55),"")</f>
        <v/>
      </c>
      <c r="C55" s="2"/>
      <c r="O55" s="1"/>
      <c r="Q55" s="3"/>
      <c r="R55" s="3"/>
      <c r="S55" s="3"/>
    </row>
    <row r="56" spans="1:19" hidden="1" x14ac:dyDescent="0.2">
      <c r="A56" t="str">
        <f>IF(C56&lt;&gt;"",ROWS($6:56),"")</f>
        <v/>
      </c>
      <c r="C56" s="2"/>
      <c r="O56" s="1"/>
      <c r="Q56" s="3"/>
      <c r="R56" s="3"/>
      <c r="S56" s="3"/>
    </row>
    <row r="57" spans="1:19" hidden="1" x14ac:dyDescent="0.2">
      <c r="A57" t="str">
        <f>IF(C57&lt;&gt;"",ROWS($6:57),"")</f>
        <v/>
      </c>
      <c r="C57" s="2"/>
      <c r="O57" s="1"/>
      <c r="Q57" s="3"/>
      <c r="R57" s="3"/>
      <c r="S57" s="3"/>
    </row>
    <row r="58" spans="1:19" hidden="1" x14ac:dyDescent="0.2">
      <c r="A58" t="str">
        <f>IF(C58&lt;&gt;"",ROWS($6:58),"")</f>
        <v/>
      </c>
    </row>
    <row r="59" spans="1:19" hidden="1" x14ac:dyDescent="0.2">
      <c r="A59" t="str">
        <f>IF(C59&lt;&gt;"",ROWS($6:59),"")</f>
        <v/>
      </c>
    </row>
    <row r="60" spans="1:19" hidden="1" x14ac:dyDescent="0.2">
      <c r="A60" t="str">
        <f>IF(C60&lt;&gt;"",ROWS($6:60),"")</f>
        <v/>
      </c>
    </row>
    <row r="61" spans="1:19" hidden="1" x14ac:dyDescent="0.2">
      <c r="A61" t="str">
        <f>IF(C61&lt;&gt;"",ROWS($6:61),"")</f>
        <v/>
      </c>
    </row>
    <row r="62" spans="1:19" hidden="1" x14ac:dyDescent="0.2">
      <c r="A62" t="str">
        <f>IF(C62&lt;&gt;"",ROWS($6:62),"")</f>
        <v/>
      </c>
    </row>
    <row r="63" spans="1:19" hidden="1" x14ac:dyDescent="0.2">
      <c r="A63" t="str">
        <f>IF(C63&lt;&gt;"",ROWS($6:63),"")</f>
        <v/>
      </c>
    </row>
    <row r="64" spans="1:19" hidden="1" x14ac:dyDescent="0.2">
      <c r="A64" t="str">
        <f>IF(C64&lt;&gt;"",ROWS($6:64),"")</f>
        <v/>
      </c>
    </row>
    <row r="65" spans="1:1" hidden="1" x14ac:dyDescent="0.2">
      <c r="A65" t="str">
        <f>IF(C65&lt;&gt;"",ROWS($6:65),"")</f>
        <v/>
      </c>
    </row>
    <row r="66" spans="1:1" hidden="1" x14ac:dyDescent="0.2">
      <c r="A66" t="str">
        <f>IF(C66&lt;&gt;"",ROWS($6:66),"")</f>
        <v/>
      </c>
    </row>
    <row r="67" spans="1:1" hidden="1" x14ac:dyDescent="0.2">
      <c r="A67" t="str">
        <f>IF(C67&lt;&gt;"",ROWS($6:67),"")</f>
        <v/>
      </c>
    </row>
    <row r="68" spans="1:1" hidden="1" x14ac:dyDescent="0.2">
      <c r="A68" t="str">
        <f>IF(C68&lt;&gt;"",ROWS($6:68),"")</f>
        <v/>
      </c>
    </row>
    <row r="69" spans="1:1" hidden="1" x14ac:dyDescent="0.2">
      <c r="A69" t="str">
        <f>IF(C69&lt;&gt;"",ROWS($6:69),"")</f>
        <v/>
      </c>
    </row>
    <row r="70" spans="1:1" hidden="1" x14ac:dyDescent="0.2">
      <c r="A70" t="str">
        <f>IF(C70&lt;&gt;"",ROWS($6:70),"")</f>
        <v/>
      </c>
    </row>
    <row r="71" spans="1:1" hidden="1" x14ac:dyDescent="0.2">
      <c r="A71" t="str">
        <f>IF(C71&lt;&gt;"",ROWS($6:71),"")</f>
        <v/>
      </c>
    </row>
    <row r="72" spans="1:1" hidden="1" x14ac:dyDescent="0.2">
      <c r="A72" t="str">
        <f>IF(C72&lt;&gt;"",ROWS($6:72),"")</f>
        <v/>
      </c>
    </row>
    <row r="73" spans="1:1" hidden="1" x14ac:dyDescent="0.2">
      <c r="A73" t="str">
        <f>IF(C73&lt;&gt;"",ROWS($6:73),"")</f>
        <v/>
      </c>
    </row>
    <row r="74" spans="1:1" hidden="1" x14ac:dyDescent="0.2">
      <c r="A74" t="str">
        <f>IF(C74&lt;&gt;"",ROWS($6:74),"")</f>
        <v/>
      </c>
    </row>
    <row r="75" spans="1:1" hidden="1" x14ac:dyDescent="0.2">
      <c r="A75" t="str">
        <f>IF(C75&lt;&gt;"",ROWS($6:75),"")</f>
        <v/>
      </c>
    </row>
    <row r="76" spans="1:1" hidden="1" x14ac:dyDescent="0.2">
      <c r="A76" t="str">
        <f>IF(C76&lt;&gt;"",ROWS($6:76),"")</f>
        <v/>
      </c>
    </row>
    <row r="77" spans="1:1" hidden="1" x14ac:dyDescent="0.2">
      <c r="A77" t="str">
        <f>IF(C77&lt;&gt;"",ROWS($6:77),"")</f>
        <v/>
      </c>
    </row>
    <row r="78" spans="1:1" hidden="1" x14ac:dyDescent="0.2">
      <c r="A78" t="str">
        <f>IF(C78&lt;&gt;"",ROWS($6:78),"")</f>
        <v/>
      </c>
    </row>
    <row r="79" spans="1:1" hidden="1" x14ac:dyDescent="0.2">
      <c r="A79" t="str">
        <f>IF(C79&lt;&gt;"",ROWS($6:79),"")</f>
        <v/>
      </c>
    </row>
    <row r="80" spans="1:1" hidden="1" x14ac:dyDescent="0.2">
      <c r="A80" t="str">
        <f>IF(C80&lt;&gt;"",ROWS($6:80),"")</f>
        <v/>
      </c>
    </row>
    <row r="81" spans="1:1" hidden="1" x14ac:dyDescent="0.2">
      <c r="A81" t="str">
        <f>IF(C81&lt;&gt;"",ROWS($6:81),"")</f>
        <v/>
      </c>
    </row>
    <row r="82" spans="1:1" hidden="1" x14ac:dyDescent="0.2">
      <c r="A82" t="str">
        <f>IF(C82&lt;&gt;"",ROWS($6:82),"")</f>
        <v/>
      </c>
    </row>
    <row r="83" spans="1:1" hidden="1" x14ac:dyDescent="0.2">
      <c r="A83" t="str">
        <f>IF(C83&lt;&gt;"",ROWS($6:83),"")</f>
        <v/>
      </c>
    </row>
    <row r="84" spans="1:1" hidden="1" x14ac:dyDescent="0.2">
      <c r="A84" t="str">
        <f>IF(C84&lt;&gt;"",ROWS($6:84),"")</f>
        <v/>
      </c>
    </row>
    <row r="85" spans="1:1" hidden="1" x14ac:dyDescent="0.2">
      <c r="A85" t="str">
        <f>IF(C85&lt;&gt;"",ROWS($6:85),"")</f>
        <v/>
      </c>
    </row>
    <row r="86" spans="1:1" hidden="1" x14ac:dyDescent="0.2">
      <c r="A86" t="str">
        <f>IF(C86&lt;&gt;"",ROWS($6:86),"")</f>
        <v/>
      </c>
    </row>
    <row r="87" spans="1:1" hidden="1" x14ac:dyDescent="0.2">
      <c r="A87" t="str">
        <f>IF(C87&lt;&gt;"",ROWS($6:87),"")</f>
        <v/>
      </c>
    </row>
    <row r="88" spans="1:1" hidden="1" x14ac:dyDescent="0.2">
      <c r="A88" t="str">
        <f>IF(C88&lt;&gt;"",ROWS($6:88),"")</f>
        <v/>
      </c>
    </row>
    <row r="89" spans="1:1" hidden="1" x14ac:dyDescent="0.2">
      <c r="A89" t="str">
        <f>IF(C89&lt;&gt;"",ROWS($6:89),"")</f>
        <v/>
      </c>
    </row>
    <row r="90" spans="1:1" hidden="1" x14ac:dyDescent="0.2">
      <c r="A90" t="str">
        <f>IF(C90&lt;&gt;"",ROWS($6:90),"")</f>
        <v/>
      </c>
    </row>
    <row r="91" spans="1:1" hidden="1" x14ac:dyDescent="0.2">
      <c r="A91" t="str">
        <f>IF(C91&lt;&gt;"",ROWS($6:91),"")</f>
        <v/>
      </c>
    </row>
    <row r="92" spans="1:1" hidden="1" x14ac:dyDescent="0.2">
      <c r="A92" t="str">
        <f>IF(C92&lt;&gt;"",ROWS($6:92),"")</f>
        <v/>
      </c>
    </row>
    <row r="93" spans="1:1" hidden="1" x14ac:dyDescent="0.2">
      <c r="A93" t="str">
        <f>IF(C93&lt;&gt;"",ROWS($6:93),"")</f>
        <v/>
      </c>
    </row>
    <row r="94" spans="1:1" hidden="1" x14ac:dyDescent="0.2">
      <c r="A94" t="str">
        <f>IF(C94&lt;&gt;"",ROWS($6:94),"")</f>
        <v/>
      </c>
    </row>
    <row r="95" spans="1:1" hidden="1" x14ac:dyDescent="0.2">
      <c r="A95" t="str">
        <f>IF(C95&lt;&gt;"",ROWS($6:95),"")</f>
        <v/>
      </c>
    </row>
    <row r="96" spans="1:1" hidden="1" x14ac:dyDescent="0.2">
      <c r="A96" t="str">
        <f>IF(C96&lt;&gt;"",ROWS($6:96),"")</f>
        <v/>
      </c>
    </row>
    <row r="97" spans="1:1" hidden="1" x14ac:dyDescent="0.2">
      <c r="A97" t="str">
        <f>IF(C97&lt;&gt;"",ROWS($6:97),"")</f>
        <v/>
      </c>
    </row>
    <row r="98" spans="1:1" hidden="1" x14ac:dyDescent="0.2">
      <c r="A98" t="str">
        <f>IF(C98&lt;&gt;"",ROWS($6:98),"")</f>
        <v/>
      </c>
    </row>
    <row r="99" spans="1:1" hidden="1" x14ac:dyDescent="0.2">
      <c r="A99" t="str">
        <f>IF(C99&lt;&gt;"",ROWS($6:99),"")</f>
        <v/>
      </c>
    </row>
    <row r="100" spans="1:1" hidden="1" x14ac:dyDescent="0.2">
      <c r="A100" t="str">
        <f>IF(C100&lt;&gt;"",ROWS($6:100),"")</f>
        <v/>
      </c>
    </row>
    <row r="101" spans="1:1" hidden="1" x14ac:dyDescent="0.2">
      <c r="A101" t="str">
        <f>IF(C101&lt;&gt;"",ROWS($6:101),"")</f>
        <v/>
      </c>
    </row>
    <row r="102" spans="1:1" hidden="1" x14ac:dyDescent="0.2">
      <c r="A102" t="str">
        <f>IF(C102&lt;&gt;"",ROWS($6:102),"")</f>
        <v/>
      </c>
    </row>
    <row r="103" spans="1:1" hidden="1" x14ac:dyDescent="0.2">
      <c r="A103" t="str">
        <f>IF(C103&lt;&gt;"",ROWS($6:103),"")</f>
        <v/>
      </c>
    </row>
  </sheetData>
  <autoFilter ref="A4:T103">
    <filterColumn colId="1">
      <filters>
        <filter val="Clarice Starling"/>
      </filters>
    </filterColumn>
  </autoFilter>
  <conditionalFormatting sqref="Q26:S57 Q6:S24">
    <cfRule type="expression" dxfId="2" priority="7">
      <formula>"Y"</formula>
    </cfRule>
  </conditionalFormatting>
  <conditionalFormatting sqref="Q25:S25">
    <cfRule type="expression" dxfId="1" priority="3">
      <formula>"Y"</formula>
    </cfRule>
  </conditionalFormatting>
  <conditionalFormatting sqref="D6:D57">
    <cfRule type="expression" dxfId="0" priority="11">
      <formula>(#REF!=$D6)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F76"/>
  <sheetViews>
    <sheetView zoomScaleNormal="100" workbookViewId="0">
      <selection activeCell="G3" sqref="G3"/>
    </sheetView>
  </sheetViews>
  <sheetFormatPr defaultRowHeight="14.25" x14ac:dyDescent="0.2"/>
  <cols>
    <col min="2" max="2" width="10.875" customWidth="1"/>
    <col min="3" max="3" width="12.625" customWidth="1"/>
    <col min="6" max="6" width="14.875" customWidth="1"/>
  </cols>
  <sheetData>
    <row r="4" spans="2:6" x14ac:dyDescent="0.2">
      <c r="B4" t="s">
        <v>1</v>
      </c>
      <c r="C4" s="25" t="s">
        <v>13</v>
      </c>
      <c r="E4" s="40" t="s">
        <v>50</v>
      </c>
      <c r="F4" s="40" t="s">
        <v>33</v>
      </c>
    </row>
    <row r="5" spans="2:6" x14ac:dyDescent="0.2">
      <c r="B5" s="2">
        <v>40909</v>
      </c>
      <c r="C5" s="1">
        <v>789443</v>
      </c>
      <c r="F5" t="s">
        <v>0</v>
      </c>
    </row>
    <row r="6" spans="2:6" x14ac:dyDescent="0.2">
      <c r="B6" s="2">
        <v>40940</v>
      </c>
      <c r="C6" s="1">
        <v>690667</v>
      </c>
      <c r="F6" t="s">
        <v>32</v>
      </c>
    </row>
    <row r="7" spans="2:6" x14ac:dyDescent="0.2">
      <c r="B7" s="2">
        <v>40969</v>
      </c>
      <c r="C7" s="1">
        <v>688012</v>
      </c>
      <c r="F7" t="s">
        <v>58</v>
      </c>
    </row>
    <row r="8" spans="2:6" x14ac:dyDescent="0.2">
      <c r="B8" s="2">
        <v>41000</v>
      </c>
      <c r="C8" s="1">
        <v>602679</v>
      </c>
      <c r="F8" t="s">
        <v>51</v>
      </c>
    </row>
    <row r="9" spans="2:6" x14ac:dyDescent="0.2">
      <c r="B9" s="2">
        <v>41030</v>
      </c>
      <c r="C9" s="1">
        <v>570999</v>
      </c>
      <c r="F9" t="s">
        <v>57</v>
      </c>
    </row>
    <row r="10" spans="2:6" x14ac:dyDescent="0.2">
      <c r="B10" s="2">
        <v>41061</v>
      </c>
      <c r="C10" s="1">
        <v>766080.87</v>
      </c>
      <c r="F10" t="s">
        <v>52</v>
      </c>
    </row>
    <row r="11" spans="2:6" x14ac:dyDescent="0.2">
      <c r="B11" s="2">
        <v>41091</v>
      </c>
      <c r="C11" s="1">
        <v>568856</v>
      </c>
      <c r="F11" t="s">
        <v>53</v>
      </c>
    </row>
    <row r="12" spans="2:6" x14ac:dyDescent="0.2">
      <c r="B12" s="2">
        <v>41122</v>
      </c>
      <c r="C12" s="1">
        <v>713609.65</v>
      </c>
      <c r="F12" t="s">
        <v>54</v>
      </c>
    </row>
    <row r="13" spans="2:6" x14ac:dyDescent="0.2">
      <c r="B13" s="2">
        <v>41153</v>
      </c>
      <c r="C13" s="1">
        <v>620714</v>
      </c>
      <c r="F13" t="s">
        <v>55</v>
      </c>
    </row>
    <row r="14" spans="2:6" x14ac:dyDescent="0.2">
      <c r="B14" s="2">
        <v>41183</v>
      </c>
      <c r="C14" s="1">
        <v>616961</v>
      </c>
      <c r="F14" t="s">
        <v>56</v>
      </c>
    </row>
    <row r="15" spans="2:6" x14ac:dyDescent="0.2">
      <c r="B15" s="2">
        <v>41214</v>
      </c>
      <c r="C15" s="1">
        <v>532768</v>
      </c>
    </row>
    <row r="16" spans="2:6" x14ac:dyDescent="0.2">
      <c r="B16" s="2">
        <v>41244</v>
      </c>
      <c r="C16" s="1">
        <v>600970</v>
      </c>
    </row>
    <row r="17" spans="2:3" x14ac:dyDescent="0.2">
      <c r="B17" s="2">
        <v>41275</v>
      </c>
      <c r="C17" s="1">
        <v>510007</v>
      </c>
    </row>
    <row r="18" spans="2:3" x14ac:dyDescent="0.2">
      <c r="B18" s="2">
        <v>41306</v>
      </c>
      <c r="C18" s="1">
        <v>587488</v>
      </c>
    </row>
    <row r="19" spans="2:3" x14ac:dyDescent="0.2">
      <c r="B19" s="2">
        <v>41334</v>
      </c>
      <c r="C19" s="1">
        <v>567999</v>
      </c>
    </row>
    <row r="20" spans="2:3" x14ac:dyDescent="0.2">
      <c r="B20" s="2">
        <v>41365</v>
      </c>
      <c r="C20" s="1">
        <v>754007</v>
      </c>
    </row>
    <row r="21" spans="2:3" x14ac:dyDescent="0.2">
      <c r="B21" s="2">
        <v>41395</v>
      </c>
      <c r="C21" s="1">
        <v>511908</v>
      </c>
    </row>
    <row r="22" spans="2:3" x14ac:dyDescent="0.2">
      <c r="B22" s="2">
        <v>41426</v>
      </c>
      <c r="C22" s="1">
        <v>538603</v>
      </c>
    </row>
    <row r="23" spans="2:3" x14ac:dyDescent="0.2">
      <c r="B23" s="2">
        <v>41456</v>
      </c>
      <c r="C23" s="1">
        <v>799988</v>
      </c>
    </row>
    <row r="24" spans="2:3" x14ac:dyDescent="0.2">
      <c r="B24" s="2">
        <v>41487</v>
      </c>
      <c r="C24" s="1">
        <v>689111</v>
      </c>
    </row>
    <row r="25" spans="2:3" x14ac:dyDescent="0.2">
      <c r="B25" s="2">
        <v>41518</v>
      </c>
      <c r="C25" s="1">
        <v>778090</v>
      </c>
    </row>
    <row r="26" spans="2:3" x14ac:dyDescent="0.2">
      <c r="B26" s="2">
        <v>41548</v>
      </c>
      <c r="C26" s="1">
        <v>567109</v>
      </c>
    </row>
    <row r="27" spans="2:3" x14ac:dyDescent="0.2">
      <c r="B27" s="2">
        <v>41579</v>
      </c>
      <c r="C27" s="1">
        <v>548990</v>
      </c>
    </row>
    <row r="28" spans="2:3" x14ac:dyDescent="0.2">
      <c r="B28" s="2">
        <v>41609</v>
      </c>
      <c r="C28" s="1">
        <v>467888</v>
      </c>
    </row>
    <row r="29" spans="2:3" x14ac:dyDescent="0.2">
      <c r="B29" s="2">
        <v>41640</v>
      </c>
    </row>
    <row r="30" spans="2:3" x14ac:dyDescent="0.2">
      <c r="B30" s="2">
        <v>41671</v>
      </c>
    </row>
    <row r="31" spans="2:3" x14ac:dyDescent="0.2">
      <c r="B31" s="2">
        <v>41699</v>
      </c>
    </row>
    <row r="32" spans="2:3" x14ac:dyDescent="0.2">
      <c r="B32" s="2">
        <v>41730</v>
      </c>
    </row>
    <row r="33" spans="2:2" x14ac:dyDescent="0.2">
      <c r="B33" s="2">
        <v>41760</v>
      </c>
    </row>
    <row r="34" spans="2:2" x14ac:dyDescent="0.2">
      <c r="B34" s="2">
        <v>41791</v>
      </c>
    </row>
    <row r="35" spans="2:2" x14ac:dyDescent="0.2">
      <c r="B35" s="2">
        <v>41821</v>
      </c>
    </row>
    <row r="36" spans="2:2" x14ac:dyDescent="0.2">
      <c r="B36" s="2">
        <v>41852</v>
      </c>
    </row>
    <row r="37" spans="2:2" x14ac:dyDescent="0.2">
      <c r="B37" s="2">
        <v>41883</v>
      </c>
    </row>
    <row r="38" spans="2:2" x14ac:dyDescent="0.2">
      <c r="B38" s="2">
        <v>41913</v>
      </c>
    </row>
    <row r="39" spans="2:2" x14ac:dyDescent="0.2">
      <c r="B39" s="2">
        <v>41944</v>
      </c>
    </row>
    <row r="40" spans="2:2" x14ac:dyDescent="0.2">
      <c r="B40" s="2">
        <v>41974</v>
      </c>
    </row>
    <row r="41" spans="2:2" x14ac:dyDescent="0.2">
      <c r="B41" s="2">
        <v>42005</v>
      </c>
    </row>
    <row r="42" spans="2:2" x14ac:dyDescent="0.2">
      <c r="B42" s="2">
        <v>42036</v>
      </c>
    </row>
    <row r="43" spans="2:2" x14ac:dyDescent="0.2">
      <c r="B43" s="2">
        <v>42064</v>
      </c>
    </row>
    <row r="44" spans="2:2" x14ac:dyDescent="0.2">
      <c r="B44" s="2">
        <v>42095</v>
      </c>
    </row>
    <row r="45" spans="2:2" x14ac:dyDescent="0.2">
      <c r="B45" s="2">
        <v>42125</v>
      </c>
    </row>
    <row r="46" spans="2:2" x14ac:dyDescent="0.2">
      <c r="B46" s="2">
        <v>42156</v>
      </c>
    </row>
    <row r="47" spans="2:2" x14ac:dyDescent="0.2">
      <c r="B47" s="2">
        <v>42186</v>
      </c>
    </row>
    <row r="48" spans="2:2" x14ac:dyDescent="0.2">
      <c r="B48" s="2">
        <v>42217</v>
      </c>
    </row>
    <row r="49" spans="2:2" x14ac:dyDescent="0.2">
      <c r="B49" s="2">
        <v>42248</v>
      </c>
    </row>
    <row r="50" spans="2:2" x14ac:dyDescent="0.2">
      <c r="B50" s="2">
        <v>42278</v>
      </c>
    </row>
    <row r="51" spans="2:2" x14ac:dyDescent="0.2">
      <c r="B51" s="2">
        <v>42309</v>
      </c>
    </row>
    <row r="52" spans="2:2" x14ac:dyDescent="0.2">
      <c r="B52" s="2">
        <v>42339</v>
      </c>
    </row>
    <row r="53" spans="2:2" x14ac:dyDescent="0.2">
      <c r="B53" s="2">
        <v>42370</v>
      </c>
    </row>
    <row r="54" spans="2:2" x14ac:dyDescent="0.2">
      <c r="B54" s="2">
        <v>42401</v>
      </c>
    </row>
    <row r="55" spans="2:2" x14ac:dyDescent="0.2">
      <c r="B55" s="2">
        <v>42430</v>
      </c>
    </row>
    <row r="56" spans="2:2" x14ac:dyDescent="0.2">
      <c r="B56" s="2">
        <v>42461</v>
      </c>
    </row>
    <row r="57" spans="2:2" x14ac:dyDescent="0.2">
      <c r="B57" s="2">
        <v>42491</v>
      </c>
    </row>
    <row r="58" spans="2:2" x14ac:dyDescent="0.2">
      <c r="B58" s="2">
        <v>42522</v>
      </c>
    </row>
    <row r="59" spans="2:2" x14ac:dyDescent="0.2">
      <c r="B59" s="2">
        <v>42552</v>
      </c>
    </row>
    <row r="60" spans="2:2" x14ac:dyDescent="0.2">
      <c r="B60" s="2">
        <v>42583</v>
      </c>
    </row>
    <row r="61" spans="2:2" x14ac:dyDescent="0.2">
      <c r="B61" s="2">
        <v>42614</v>
      </c>
    </row>
    <row r="62" spans="2:2" x14ac:dyDescent="0.2">
      <c r="B62" s="2">
        <v>42644</v>
      </c>
    </row>
    <row r="63" spans="2:2" x14ac:dyDescent="0.2">
      <c r="B63" s="2">
        <v>42675</v>
      </c>
    </row>
    <row r="64" spans="2:2" x14ac:dyDescent="0.2">
      <c r="B64" s="2">
        <v>42705</v>
      </c>
    </row>
    <row r="65" spans="2:2" x14ac:dyDescent="0.2">
      <c r="B65" s="2">
        <v>42736</v>
      </c>
    </row>
    <row r="66" spans="2:2" x14ac:dyDescent="0.2">
      <c r="B66" s="2">
        <v>42767</v>
      </c>
    </row>
    <row r="67" spans="2:2" x14ac:dyDescent="0.2">
      <c r="B67" s="2">
        <v>42795</v>
      </c>
    </row>
    <row r="68" spans="2:2" x14ac:dyDescent="0.2">
      <c r="B68" s="2">
        <v>42826</v>
      </c>
    </row>
    <row r="69" spans="2:2" x14ac:dyDescent="0.2">
      <c r="B69" s="2">
        <v>42856</v>
      </c>
    </row>
    <row r="70" spans="2:2" x14ac:dyDescent="0.2">
      <c r="B70" s="2">
        <v>42887</v>
      </c>
    </row>
    <row r="71" spans="2:2" x14ac:dyDescent="0.2">
      <c r="B71" s="2">
        <v>42917</v>
      </c>
    </row>
    <row r="72" spans="2:2" x14ac:dyDescent="0.2">
      <c r="B72" s="2">
        <v>42948</v>
      </c>
    </row>
    <row r="73" spans="2:2" x14ac:dyDescent="0.2">
      <c r="B73" s="2">
        <v>42979</v>
      </c>
    </row>
    <row r="74" spans="2:2" x14ac:dyDescent="0.2">
      <c r="B74" s="2">
        <v>43009</v>
      </c>
    </row>
    <row r="75" spans="2:2" x14ac:dyDescent="0.2">
      <c r="B75" s="2">
        <v>43040</v>
      </c>
    </row>
    <row r="76" spans="2:2" x14ac:dyDescent="0.2">
      <c r="B76" s="2">
        <v>43070</v>
      </c>
    </row>
  </sheetData>
  <autoFilter ref="A4:C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Dashboard</vt:lpstr>
      <vt:lpstr>CALS</vt:lpstr>
      <vt:lpstr>AllSale</vt:lpstr>
      <vt:lpstr>TopSale</vt:lpstr>
    </vt:vector>
  </TitlesOfParts>
  <Company>xxx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2003</dc:creator>
  <cp:lastModifiedBy>Admin</cp:lastModifiedBy>
  <cp:lastPrinted>2013-09-13T08:18:39Z</cp:lastPrinted>
  <dcterms:created xsi:type="dcterms:W3CDTF">2013-09-11T04:49:26Z</dcterms:created>
  <dcterms:modified xsi:type="dcterms:W3CDTF">2013-09-26T01:32:54Z</dcterms:modified>
</cp:coreProperties>
</file>