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15150" windowHeight="7365" tabRatio="372"/>
  </bookViews>
  <sheets>
    <sheet name="PDR2014" sheetId="3" r:id="rId1"/>
  </sheets>
  <definedNames>
    <definedName name="_xlnm._FilterDatabase" localSheetId="0" hidden="1">'PDR2014'!$B$4:$J$6</definedName>
    <definedName name="Ausstoß_und_Kurvenscheiben_30er_x_25D__Coex2_Gesch__Liste">#REF!</definedName>
    <definedName name="_xlnm.Print_Area" localSheetId="0">'PDR2014'!$A$1:$J$59,'PDR2014'!$B$64:$I$167</definedName>
    <definedName name="Z_ABB6CAE8_7B06_4F40_9BB0_7C5536175C1A_.wvu.FilterData" localSheetId="0" hidden="1">'PDR2014'!$B$4:$J$6</definedName>
  </definedNames>
  <calcPr calcId="125725"/>
  <customWorkbookViews>
    <customWorkbookView name="pitak - Personal View" guid="{ABB6CAE8-7B06-4F40-9BB0-7C5536175C1A}" mergeInterval="0" personalView="1" maximized="1" xWindow="1" yWindow="1" windowWidth="1362" windowHeight="525" tabRatio="372" activeSheetId="3"/>
  </customWorkbookViews>
</workbook>
</file>

<file path=xl/calcChain.xml><?xml version="1.0" encoding="utf-8"?>
<calcChain xmlns="http://schemas.openxmlformats.org/spreadsheetml/2006/main">
  <c r="F107" i="3"/>
  <c r="G78"/>
  <c r="G75"/>
  <c r="G72"/>
  <c r="F100"/>
  <c r="D106"/>
  <c r="F106" s="1"/>
  <c r="H93"/>
  <c r="H94"/>
  <c r="H95"/>
  <c r="H96"/>
  <c r="H97"/>
  <c r="H98"/>
  <c r="G93"/>
  <c r="G94"/>
  <c r="G95"/>
  <c r="G96"/>
  <c r="G97"/>
  <c r="G98"/>
  <c r="D107"/>
  <c r="G107" s="1"/>
  <c r="D103"/>
  <c r="D104"/>
  <c r="D105"/>
  <c r="G105" s="1"/>
  <c r="B136" l="1" a="1"/>
  <c r="B136" s="1"/>
  <c r="F105"/>
  <c r="H105" s="1"/>
  <c r="G100"/>
  <c r="H100" s="1"/>
  <c r="G106"/>
  <c r="B145" a="1"/>
  <c r="B145" s="1"/>
  <c r="B134" a="1"/>
  <c r="B134" s="1"/>
  <c r="B119" a="1"/>
  <c r="B119" s="1"/>
  <c r="B118" a="1"/>
  <c r="B118" s="1"/>
  <c r="H106"/>
  <c r="B132" a="1"/>
  <c r="B132" s="1"/>
  <c r="H107"/>
  <c r="B142" a="1"/>
  <c r="B142" s="1"/>
  <c r="B139" a="1"/>
  <c r="B139" s="1"/>
  <c r="B143" a="1"/>
  <c r="B143" s="1"/>
  <c r="B140" a="1"/>
  <c r="B140" s="1"/>
  <c r="B144" a="1"/>
  <c r="B144" s="1"/>
  <c r="B137" a="1"/>
  <c r="B137" s="1"/>
  <c r="B141" a="1"/>
  <c r="B141" s="1"/>
  <c r="B133" a="1"/>
  <c r="B133" s="1"/>
  <c r="B129" a="1"/>
  <c r="B129" s="1"/>
  <c r="B130" a="1"/>
  <c r="B130" s="1"/>
  <c r="B135" a="1"/>
  <c r="B135" s="1"/>
  <c r="B125" a="1"/>
  <c r="B125" s="1"/>
  <c r="B126" a="1"/>
  <c r="B126" s="1"/>
  <c r="B127" a="1"/>
  <c r="B127" s="1"/>
  <c r="B128" a="1"/>
  <c r="B128" s="1"/>
  <c r="B120" a="1"/>
  <c r="B120" s="1"/>
  <c r="B121" a="1"/>
  <c r="B121" s="1"/>
  <c r="B122" a="1"/>
  <c r="B122" s="1"/>
  <c r="B123" a="1"/>
  <c r="B123" s="1"/>
  <c r="B124" a="1"/>
  <c r="B124" s="1"/>
  <c r="D34"/>
  <c r="I46"/>
  <c r="F104" s="1"/>
  <c r="G104" s="1"/>
  <c r="H104" s="1"/>
  <c r="I45"/>
  <c r="F103" s="1"/>
  <c r="G103" s="1"/>
  <c r="H103" s="1"/>
  <c r="F72"/>
  <c r="F75"/>
  <c r="F84"/>
  <c r="D35"/>
  <c r="D42" s="1"/>
  <c r="F78"/>
  <c r="F68"/>
  <c r="D37"/>
  <c r="G90" l="1"/>
  <c r="H90" s="1"/>
  <c r="G92"/>
  <c r="H92" s="1"/>
  <c r="G91"/>
  <c r="H91" s="1"/>
  <c r="G89"/>
  <c r="H89" s="1"/>
  <c r="G84"/>
  <c r="G83" s="1"/>
  <c r="D133"/>
  <c r="E133" s="1"/>
  <c r="D130"/>
  <c r="E130" s="1"/>
  <c r="D132"/>
  <c r="E132" s="1"/>
  <c r="D127"/>
  <c r="D126" l="1"/>
  <c r="E126" s="1"/>
  <c r="D125"/>
  <c r="E125" s="1"/>
  <c r="G86"/>
  <c r="G85"/>
  <c r="G99"/>
  <c r="E127"/>
  <c r="D124"/>
  <c r="D129"/>
  <c r="H99" l="1"/>
  <c r="D136"/>
  <c r="E136" s="1"/>
  <c r="D135"/>
  <c r="E135" s="1"/>
  <c r="D128"/>
  <c r="D134"/>
  <c r="E134" s="1"/>
  <c r="E129"/>
  <c r="E128" l="1"/>
  <c r="D32" l="1"/>
  <c r="D36" s="1"/>
  <c r="D43" s="1"/>
  <c r="G69" l="1"/>
  <c r="G70"/>
  <c r="G76" l="1"/>
  <c r="H76" s="1"/>
  <c r="G80"/>
  <c r="H80" s="1"/>
  <c r="G73"/>
  <c r="H73" s="1"/>
  <c r="H70"/>
  <c r="D120"/>
  <c r="G77"/>
  <c r="G68"/>
  <c r="G67" s="1"/>
  <c r="G79"/>
  <c r="G74"/>
  <c r="G71"/>
  <c r="H79" l="1"/>
  <c r="H69"/>
  <c r="E120" s="1"/>
  <c r="H75"/>
  <c r="H74"/>
  <c r="H68"/>
  <c r="D122"/>
  <c r="H67" l="1"/>
  <c r="D118"/>
  <c r="H78"/>
  <c r="H77"/>
  <c r="E122" s="1"/>
  <c r="H84"/>
  <c r="E124" s="1"/>
  <c r="H83"/>
  <c r="D123"/>
  <c r="D121"/>
  <c r="D139" l="1"/>
  <c r="E139" s="1"/>
  <c r="D143"/>
  <c r="E143" s="1"/>
  <c r="D140"/>
  <c r="E140" s="1"/>
  <c r="D141"/>
  <c r="E141" s="1"/>
  <c r="D144"/>
  <c r="E144" s="1"/>
  <c r="D145"/>
  <c r="E145" s="1"/>
  <c r="D142"/>
  <c r="E142" s="1"/>
  <c r="D137"/>
  <c r="E137" s="1"/>
  <c r="E118"/>
  <c r="H86"/>
  <c r="E121" s="1"/>
  <c r="H85"/>
  <c r="E123" s="1"/>
  <c r="H72"/>
  <c r="D119"/>
  <c r="E119" l="1"/>
  <c r="H71"/>
</calcChain>
</file>

<file path=xl/comments1.xml><?xml version="1.0" encoding="utf-8"?>
<comments xmlns="http://schemas.openxmlformats.org/spreadsheetml/2006/main">
  <authors>
    <author>pitak</author>
  </authors>
  <commentList>
    <comment ref="G5" authorId="0">
      <text>
        <r>
          <rPr>
            <b/>
            <sz val="9"/>
            <color indexed="81"/>
            <rFont val="Tahoma"/>
            <charset val="222"/>
          </rPr>
          <t>pitak:จากใบเสนอราคา CS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pitak: หมายเลขบาร์โค้ด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pitak:จำนวนสีพิมพ์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pitak:จำนวนสีซิลค์สกรีน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pitak: จำนวนสีเฟล้กโซ่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pitak: จำนวนสีอ้อฟเซ้ท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charset val="222"/>
          </rPr>
          <t>pitak: รูปาก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34" authorId="0">
      <text>
        <r>
          <rPr>
            <b/>
            <sz val="9"/>
            <color indexed="81"/>
            <rFont val="Tahoma"/>
            <charset val="222"/>
          </rPr>
          <t>pitak:เอาค่ามาจากตารางShoulder weightขวามือ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charset val="222"/>
          </rPr>
          <t>pitak: =Sleep length + Shoulder height
เลือกจากตารางหลอดขวามือ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36" authorId="0">
      <text>
        <r>
          <rPr>
            <b/>
            <sz val="9"/>
            <color indexed="81"/>
            <rFont val="Tahoma"/>
            <charset val="222"/>
          </rPr>
          <t>pitak:Sleeve weight+Donut weight</t>
        </r>
        <r>
          <rPr>
            <sz val="9"/>
            <color indexed="81"/>
            <rFont val="Tahoma"/>
            <charset val="222"/>
          </rPr>
          <t xml:space="preserve">
Auto</t>
        </r>
      </text>
    </comment>
    <comment ref="D38" authorId="0">
      <text>
        <r>
          <rPr>
            <b/>
            <sz val="9"/>
            <color indexed="81"/>
            <rFont val="Tahoma"/>
            <charset val="222"/>
          </rPr>
          <t>pitak: เลือกขนาดฝาที่จะใช้ ดูจากตารางฝาขวามือ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pitak:เลือกจากตารางฝา</t>
        </r>
        <r>
          <rPr>
            <sz val="9"/>
            <color indexed="81"/>
            <rFont val="Tahoma"/>
            <family val="2"/>
          </rPr>
          <t xml:space="preserve">
ขวามือ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pitak:เลือกจากตารางฝา</t>
        </r>
        <r>
          <rPr>
            <sz val="9"/>
            <color indexed="81"/>
            <rFont val="Tahoma"/>
            <family val="2"/>
          </rPr>
          <t xml:space="preserve">
ขวามือ</t>
        </r>
      </text>
    </comment>
    <comment ref="D41" authorId="0">
      <text>
        <r>
          <rPr>
            <b/>
            <sz val="9"/>
            <color indexed="81"/>
            <rFont val="Tahoma"/>
            <charset val="222"/>
          </rPr>
          <t>pitak: ใส่รูปากฝา 1.5-3-5-6.5-8-10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D42" authorId="0">
      <text>
        <r>
          <rPr>
            <b/>
            <sz val="9"/>
            <color indexed="81"/>
            <rFont val="Tahoma"/>
            <charset val="222"/>
          </rPr>
          <t>pitak:= Tube height+Cap height</t>
        </r>
        <r>
          <rPr>
            <sz val="9"/>
            <color indexed="81"/>
            <rFont val="Tahoma"/>
            <charset val="222"/>
          </rPr>
          <t xml:space="preserve">
เลือกจากตารางฝาขวามือ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pitak:=Tube weight+Capweight
Auto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5" authorId="0">
      <text>
        <r>
          <rPr>
            <b/>
            <sz val="9"/>
            <color indexed="81"/>
            <rFont val="Tahoma"/>
            <family val="2"/>
          </rPr>
          <t>pitak: foil SQM = (กว้าง+10mm x ยาว+10mm)/1,000,000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6" authorId="0">
      <text>
        <r>
          <rPr>
            <b/>
            <sz val="9"/>
            <color indexed="81"/>
            <rFont val="Tahoma"/>
            <family val="2"/>
          </rPr>
          <t>pitak: foil SQM = (กว้าง+10mm x ยาว+10mm)/1,000,000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0">
      <text>
        <r>
          <rPr>
            <b/>
            <sz val="9"/>
            <color indexed="81"/>
            <rFont val="Tahoma"/>
            <family val="2"/>
          </rPr>
          <t>pitak:อธิบายการแพ็ค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pitak:ใส่เปอร์เซ็นต์ Ratio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pitak:% MB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pitak:% Additive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pitak:ใส่เปอร์เซ็นต์ Ratio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pitak:% Additive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pitak:ใส่เปอร์เซ็นต์ Ratio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pitak:% Additive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pitak:ใส่เปอร์เซ็นต์ Ratio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9" authorId="0">
      <text>
        <r>
          <rPr>
            <b/>
            <sz val="9"/>
            <color indexed="81"/>
            <rFont val="Tahoma"/>
            <family val="2"/>
          </rPr>
          <t>pitak:% MB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pitak:% Additive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pitak:ใส่เปอร์เซ็นต์ Ratio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pitak:% MB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6" authorId="0">
      <text>
        <r>
          <rPr>
            <b/>
            <sz val="9"/>
            <color indexed="81"/>
            <rFont val="Tahoma"/>
            <family val="2"/>
          </rPr>
          <t>pitak:% Additive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9" authorId="0">
      <text>
        <r>
          <rPr>
            <b/>
            <sz val="9"/>
            <color indexed="81"/>
            <rFont val="Tahoma"/>
            <charset val="222"/>
          </rPr>
          <t>pitak: Fill in area.
คำนวณค่าปริมาณการใช้สีพิมพ์ให้เหมาะสม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pitak:ใส่เปอร์เซ็นต์ Ratio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pitak:Auto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4" authorId="0">
      <text>
        <r>
          <rPr>
            <b/>
            <sz val="9"/>
            <color indexed="81"/>
            <rFont val="Tahoma"/>
            <family val="2"/>
          </rPr>
          <t>pitak:Auto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pitak:Auto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pitak:Auto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pitak:Auto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7" authorId="0">
      <text>
        <r>
          <rPr>
            <b/>
            <sz val="9"/>
            <color indexed="81"/>
            <rFont val="Tahoma"/>
            <family val="2"/>
          </rPr>
          <t>pitak:ไม่รวมเผื่อเสีย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<sst xmlns="http://schemas.openxmlformats.org/spreadsheetml/2006/main" count="290" uniqueCount="186">
  <si>
    <t>Description:</t>
  </si>
  <si>
    <t>Specification</t>
  </si>
  <si>
    <t>Description</t>
  </si>
  <si>
    <t>MPMS Number:</t>
  </si>
  <si>
    <t>IPMS Number:</t>
  </si>
  <si>
    <t>IPS Number:</t>
  </si>
  <si>
    <t>Configuration</t>
  </si>
  <si>
    <t>Material Description</t>
  </si>
  <si>
    <t>Thickness</t>
  </si>
  <si>
    <t>LDPE-D01EX/MB TET 1KE721 PAL (Toyo ink)</t>
  </si>
  <si>
    <t>LDPE-D01EX</t>
  </si>
  <si>
    <t>LDPE-D01EX/LLDPE-L01EX / MB PE 1E01236 (Toyo ink)</t>
  </si>
  <si>
    <t>mm</t>
  </si>
  <si>
    <t>Cobalt black (none HS) and Alignment with Front Logo</t>
  </si>
  <si>
    <t>Supplier:</t>
  </si>
  <si>
    <t>Date:</t>
  </si>
  <si>
    <t>um</t>
  </si>
  <si>
    <t>Number of color:</t>
  </si>
  <si>
    <t>Number of S.Screen:</t>
  </si>
  <si>
    <t>Number of flexo:</t>
  </si>
  <si>
    <t>Number of Offset:</t>
  </si>
  <si>
    <t>Project name:</t>
  </si>
  <si>
    <t>Objective:</t>
  </si>
  <si>
    <t>HS Foil1:</t>
  </si>
  <si>
    <t>HS Foil2:</t>
  </si>
  <si>
    <t>Color1:</t>
  </si>
  <si>
    <t>Color2:</t>
  </si>
  <si>
    <t>Coating type:</t>
  </si>
  <si>
    <t>Label &amp; Sticker:</t>
  </si>
  <si>
    <t>Printing &amp; decoration:</t>
  </si>
  <si>
    <t>Dimension:</t>
  </si>
  <si>
    <t>Packing Specification:</t>
  </si>
  <si>
    <t>Carton type:</t>
  </si>
  <si>
    <t>pcs.</t>
  </si>
  <si>
    <t>Mixing Ratio</t>
  </si>
  <si>
    <t>Customer P.Code:</t>
  </si>
  <si>
    <t>CBP Code:</t>
  </si>
  <si>
    <t>PDR.No.:</t>
  </si>
  <si>
    <t>Ref. Quotation no:</t>
  </si>
  <si>
    <t>Requests by:</t>
  </si>
  <si>
    <t>Barcode number:</t>
  </si>
  <si>
    <t>Tube diameter:</t>
  </si>
  <si>
    <t>Tube orifice:</t>
  </si>
  <si>
    <t>Donut weight:</t>
  </si>
  <si>
    <t>Tube height:</t>
  </si>
  <si>
    <t>Body length:</t>
  </si>
  <si>
    <t>Finished height:</t>
  </si>
  <si>
    <t>Cap diameter:</t>
  </si>
  <si>
    <t>Cap height:</t>
  </si>
  <si>
    <t>Cap orifice:</t>
  </si>
  <si>
    <t>Outer layer (S4):</t>
  </si>
  <si>
    <t>Adhesive layer (S2):</t>
  </si>
  <si>
    <t>Barrier layer (S3):</t>
  </si>
  <si>
    <t>Inner layer (S1):</t>
  </si>
  <si>
    <t>Shoulder-Neck:</t>
  </si>
  <si>
    <t>Cap material / color:</t>
  </si>
  <si>
    <t>Dimension</t>
  </si>
  <si>
    <r>
      <t>Winding n</t>
    </r>
    <r>
      <rPr>
        <u/>
        <sz val="9"/>
        <color theme="1"/>
        <rFont val="Arial"/>
        <family val="2"/>
      </rPr>
      <t>o</t>
    </r>
    <r>
      <rPr>
        <sz val="9"/>
        <color theme="1"/>
        <rFont val="Arial"/>
        <family val="2"/>
      </rPr>
      <t>:</t>
    </r>
  </si>
  <si>
    <t>Tube weight:</t>
  </si>
  <si>
    <t>Cap weight:</t>
  </si>
  <si>
    <t>Total thickness:</t>
  </si>
  <si>
    <t>Tube color:</t>
  </si>
  <si>
    <r>
      <rPr>
        <u/>
        <sz val="9"/>
        <color theme="1"/>
        <rFont val="Arial"/>
        <family val="2"/>
      </rPr>
      <t>Nart</t>
    </r>
    <r>
      <rPr>
        <sz val="9"/>
        <color theme="1"/>
        <rFont val="Arial"/>
        <family val="2"/>
      </rPr>
      <t xml:space="preserve"> number:</t>
    </r>
  </si>
  <si>
    <t>Packaging Development Requisition</t>
  </si>
  <si>
    <t>Prepared by:</t>
  </si>
  <si>
    <t>Approved by:</t>
  </si>
  <si>
    <t>Trial Q'ty:</t>
  </si>
  <si>
    <t>Label GCAS:</t>
  </si>
  <si>
    <t>S4</t>
  </si>
  <si>
    <t>S1</t>
  </si>
  <si>
    <t>S3</t>
  </si>
  <si>
    <t>S2</t>
  </si>
  <si>
    <t>%</t>
  </si>
  <si>
    <t>g</t>
  </si>
  <si>
    <t>g.</t>
  </si>
  <si>
    <t>50/50/5</t>
  </si>
  <si>
    <t>Royal Blue</t>
  </si>
  <si>
    <t>Art number:</t>
  </si>
  <si>
    <t>Sleeve length</t>
  </si>
  <si>
    <t>Unit</t>
  </si>
  <si>
    <t>TW</t>
  </si>
  <si>
    <t xml:space="preserve">TD </t>
  </si>
  <si>
    <t>SL</t>
  </si>
  <si>
    <t>Wt.</t>
  </si>
  <si>
    <t>T-OF</t>
  </si>
  <si>
    <t>DW</t>
  </si>
  <si>
    <t xml:space="preserve">TH </t>
  </si>
  <si>
    <t>BL</t>
  </si>
  <si>
    <t xml:space="preserve">FH </t>
  </si>
  <si>
    <t>CD</t>
  </si>
  <si>
    <t>CH</t>
  </si>
  <si>
    <t>COF</t>
  </si>
  <si>
    <t xml:space="preserve">CW </t>
  </si>
  <si>
    <t>HDPE-H02IN / MB PE 1E01236 (Toyo Ink)/PLA</t>
  </si>
  <si>
    <t>50/50/5%/0.5%</t>
  </si>
  <si>
    <t>รายการวัตถุดิบ</t>
  </si>
  <si>
    <t>PE1</t>
  </si>
  <si>
    <t>PE2</t>
  </si>
  <si>
    <t>MB1</t>
  </si>
  <si>
    <t>MB2</t>
  </si>
  <si>
    <t>จำนวน / ออร์เดอร์</t>
  </si>
  <si>
    <t>Ink1</t>
  </si>
  <si>
    <t>Ink2</t>
  </si>
  <si>
    <t>Ink3</t>
  </si>
  <si>
    <t>Ink4</t>
  </si>
  <si>
    <t>Ink5</t>
  </si>
  <si>
    <t>Ink6</t>
  </si>
  <si>
    <t>Ink7</t>
  </si>
  <si>
    <t>Ink8</t>
  </si>
  <si>
    <t>Ink9</t>
  </si>
  <si>
    <t>Ink10</t>
  </si>
  <si>
    <t>N12/2013</t>
  </si>
  <si>
    <t>Sleeveweight:</t>
  </si>
  <si>
    <t>Total weight:</t>
  </si>
  <si>
    <t>Silver</t>
  </si>
  <si>
    <t>Outer = Green, Inner =White</t>
  </si>
  <si>
    <t>Material name</t>
  </si>
  <si>
    <t>Extruder No:</t>
  </si>
  <si>
    <t>lackquer1</t>
  </si>
  <si>
    <t>lackquer2</t>
  </si>
  <si>
    <t>% Area / G.</t>
  </si>
  <si>
    <t>Ink Sequent</t>
  </si>
  <si>
    <r>
      <t>Stamp area(M</t>
    </r>
    <r>
      <rPr>
        <vertAlign val="superscript"/>
        <sz val="9"/>
        <color theme="1"/>
        <rFont val="Arial"/>
        <family val="2"/>
      </rPr>
      <t>2</t>
    </r>
    <r>
      <rPr>
        <sz val="9"/>
        <color theme="1"/>
        <rFont val="Arial"/>
        <family val="2"/>
      </rPr>
      <t>)</t>
    </r>
  </si>
  <si>
    <t>ต่อคอ HD</t>
  </si>
  <si>
    <t>Pantone</t>
  </si>
  <si>
    <t>PC105</t>
  </si>
  <si>
    <t>PMS 877</t>
  </si>
  <si>
    <t>PMS 662</t>
  </si>
  <si>
    <t>Wichuta Ratniyom</t>
  </si>
  <si>
    <t>QT13/2556</t>
  </si>
  <si>
    <t>เพื่อทดลองผลิตหลอดที่มีความเงาสูง เพื่อเป็นสินค้าทางเลือกใหม่</t>
  </si>
  <si>
    <t>Premium Silver tube</t>
  </si>
  <si>
    <t>none</t>
  </si>
  <si>
    <t>PSILVER</t>
  </si>
  <si>
    <t>MB TET 1KE721 PAL (Toyo ink)</t>
  </si>
  <si>
    <t>ตร.เมตร</t>
  </si>
  <si>
    <t>กรัม</t>
  </si>
  <si>
    <t xml:space="preserve">LLDPE L-1211  </t>
  </si>
  <si>
    <t xml:space="preserve">LDPE POLENE D 2022  </t>
  </si>
  <si>
    <t xml:space="preserve">HDPE G-2855  </t>
  </si>
  <si>
    <t xml:space="preserve">HDPE R-1760 </t>
  </si>
  <si>
    <t>PPA</t>
  </si>
  <si>
    <t>Sheck 49049-02</t>
  </si>
  <si>
    <t>Tube/carton:</t>
  </si>
  <si>
    <t>ตารางคำนวณปริมาณการใช้วัตถุดิบ</t>
  </si>
  <si>
    <t>PE 12073</t>
  </si>
  <si>
    <t>จำนวน/ 1000</t>
  </si>
  <si>
    <t>สรุปรายการวัตถุดิบ Summary</t>
  </si>
  <si>
    <t>หมายเหตุ Remark</t>
  </si>
  <si>
    <t>จำนวน/ ออร์เดอร์</t>
  </si>
  <si>
    <t>Unit /1000</t>
  </si>
  <si>
    <t>Unit/Order</t>
  </si>
  <si>
    <t>ลงชื่อผู้ขอเบิก</t>
  </si>
  <si>
    <t>ลงชื่อผู้อนุมัติ:</t>
  </si>
  <si>
    <t>ลงชื่อผู้จ่าย</t>
  </si>
  <si>
    <t>(PD Officer)</t>
  </si>
  <si>
    <t>(PD Manager)</t>
  </si>
  <si>
    <t>(RM Warehouse officer)</t>
  </si>
  <si>
    <t>(RM Warehouse Manager)</t>
  </si>
  <si>
    <t>Consumption</t>
  </si>
  <si>
    <t>กล่อง</t>
  </si>
  <si>
    <t>Foil1:</t>
  </si>
  <si>
    <t>Foil2:</t>
  </si>
  <si>
    <t>Cap:</t>
  </si>
  <si>
    <t>Label:</t>
  </si>
  <si>
    <t>Carton:</t>
  </si>
  <si>
    <t>Material description</t>
  </si>
  <si>
    <t>Extruder ขั้นดึงหลอด EX</t>
  </si>
  <si>
    <t>Heading ขั้นต่อคอหลอด HD</t>
  </si>
  <si>
    <t>ขั้นพิมพ์หลอด PT</t>
  </si>
  <si>
    <t>Cap tyspe</t>
  </si>
  <si>
    <t>Screw on 70123</t>
  </si>
  <si>
    <t>Reviewer:</t>
  </si>
  <si>
    <t>Approver:</t>
  </si>
  <si>
    <t>SSK 123456</t>
  </si>
  <si>
    <t>LS 534x230x110</t>
  </si>
  <si>
    <t>PMS555</t>
  </si>
  <si>
    <t>Imco</t>
  </si>
  <si>
    <t>Gloss</t>
  </si>
  <si>
    <t>จำนวน/ 1,000</t>
  </si>
  <si>
    <t>Hotstamping/Capping?Labelling/Packing</t>
  </si>
  <si>
    <t>DC/CP/LB/PA</t>
  </si>
  <si>
    <t>EXTRUSION</t>
  </si>
  <si>
    <t>HEADING</t>
  </si>
  <si>
    <t>PRINTING</t>
  </si>
  <si>
    <t>Hots/Cap/Labelling/Packing</t>
  </si>
</sst>
</file>

<file path=xl/styles.xml><?xml version="1.0" encoding="utf-8"?>
<styleSheet xmlns="http://schemas.openxmlformats.org/spreadsheetml/2006/main">
  <numFmts count="8">
    <numFmt numFmtId="187" formatCode="_-* #,##0.00_-;\-* #,##0.00_-;_-* &quot;-&quot;??_-;_-@_-"/>
    <numFmt numFmtId="188" formatCode="0.0"/>
    <numFmt numFmtId="189" formatCode="0.000"/>
    <numFmt numFmtId="190" formatCode="_-* #,##0.00\ _D_M_-;\-* #,##0.00\ _D_M_-;_-* &quot;-&quot;??\ _D_M_-;_-@_-"/>
    <numFmt numFmtId="192" formatCode="#,##0_ ;\-#,##0\ "/>
    <numFmt numFmtId="193" formatCode="#,##0.00_ ;\-#,##0.00\ "/>
    <numFmt numFmtId="195" formatCode="_-* #,##0.0_-;\-* #,##0.0_-;_-* &quot;-&quot;??_-;_-@_-"/>
    <numFmt numFmtId="196" formatCode="#,##0.00000"/>
  </numFmts>
  <fonts count="32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.5"/>
      <color theme="1"/>
      <name val="Arial"/>
      <family val="2"/>
    </font>
    <font>
      <b/>
      <sz val="8"/>
      <color theme="1"/>
      <name val="Arial"/>
      <family val="2"/>
    </font>
    <font>
      <sz val="8.5"/>
      <color theme="1"/>
      <name val="Arial"/>
      <family val="2"/>
    </font>
    <font>
      <i/>
      <sz val="9"/>
      <color theme="1"/>
      <name val="Arial"/>
      <family val="2"/>
    </font>
    <font>
      <sz val="9"/>
      <color theme="1"/>
      <name val="Times New Roman"/>
      <family val="1"/>
    </font>
    <font>
      <u/>
      <sz val="9"/>
      <color theme="1"/>
      <name val="Arial"/>
      <family val="2"/>
    </font>
    <font>
      <sz val="14"/>
      <name val="BrowalliaUP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u/>
      <sz val="10"/>
      <color indexed="36"/>
      <name val="Arial"/>
      <family val="2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9"/>
      <color indexed="81"/>
      <name val="Tahoma"/>
      <charset val="222"/>
    </font>
    <font>
      <b/>
      <sz val="9"/>
      <color indexed="81"/>
      <name val="Tahoma"/>
      <charset val="222"/>
    </font>
    <font>
      <vertAlign val="superscript"/>
      <sz val="9"/>
      <color theme="1"/>
      <name val="Arial"/>
      <family val="2"/>
    </font>
    <font>
      <u/>
      <sz val="10"/>
      <color indexed="12"/>
      <name val="Arial"/>
      <family val="2"/>
    </font>
    <font>
      <b/>
      <sz val="12"/>
      <color theme="1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sz val="8"/>
      <color theme="1"/>
      <name val="Tahoma"/>
      <family val="2"/>
      <charset val="22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0" fontId="12" fillId="0" borderId="0"/>
    <xf numFmtId="187" fontId="17" fillId="0" borderId="0" applyFont="0" applyFill="0" applyBorder="0" applyAlignment="0" applyProtection="0"/>
    <xf numFmtId="0" fontId="18" fillId="0" borderId="0"/>
    <xf numFmtId="190" fontId="18" fillId="0" borderId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18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7" fillId="0" borderId="0"/>
    <xf numFmtId="0" fontId="17" fillId="0" borderId="0"/>
    <xf numFmtId="0" fontId="20" fillId="0" borderId="0"/>
    <xf numFmtId="0" fontId="17" fillId="0" borderId="0"/>
    <xf numFmtId="0" fontId="18" fillId="0" borderId="0"/>
    <xf numFmtId="0" fontId="17" fillId="0" borderId="0"/>
  </cellStyleXfs>
  <cellXfs count="259">
    <xf numFmtId="0" fontId="0" fillId="0" borderId="0" xfId="0"/>
    <xf numFmtId="0" fontId="5" fillId="0" borderId="6" xfId="0" applyFont="1" applyBorder="1" applyAlignment="1">
      <alignment wrapText="1"/>
    </xf>
    <xf numFmtId="0" fontId="4" fillId="0" borderId="6" xfId="0" applyFont="1" applyBorder="1" applyAlignment="1">
      <alignment horizontal="right" wrapText="1"/>
    </xf>
    <xf numFmtId="0" fontId="5" fillId="0" borderId="5" xfId="0" applyFont="1" applyBorder="1" applyAlignment="1">
      <alignment wrapText="1"/>
    </xf>
    <xf numFmtId="0" fontId="4" fillId="0" borderId="7" xfId="0" applyFont="1" applyBorder="1" applyAlignment="1">
      <alignment horizontal="right" wrapText="1"/>
    </xf>
    <xf numFmtId="0" fontId="2" fillId="0" borderId="6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5" fillId="0" borderId="0" xfId="0" applyFont="1" applyBorder="1" applyAlignment="1">
      <alignment wrapText="1"/>
    </xf>
    <xf numFmtId="0" fontId="0" fillId="0" borderId="6" xfId="0" applyBorder="1" applyAlignment="1">
      <alignment horizontal="right"/>
    </xf>
    <xf numFmtId="0" fontId="5" fillId="0" borderId="6" xfId="0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0" fillId="0" borderId="5" xfId="0" applyBorder="1" applyAlignment="1">
      <alignment horizontal="center"/>
    </xf>
    <xf numFmtId="0" fontId="4" fillId="2" borderId="29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1" fillId="0" borderId="8" xfId="0" applyFont="1" applyBorder="1" applyAlignment="1">
      <alignment horizontal="right" wrapText="1"/>
    </xf>
    <xf numFmtId="0" fontId="1" fillId="0" borderId="0" xfId="0" applyFont="1" applyBorder="1" applyAlignment="1">
      <alignment wrapText="1"/>
    </xf>
    <xf numFmtId="0" fontId="0" fillId="0" borderId="5" xfId="0" applyBorder="1" applyAlignment="1">
      <alignment horizontal="right"/>
    </xf>
    <xf numFmtId="0" fontId="6" fillId="2" borderId="27" xfId="0" applyFont="1" applyFill="1" applyBorder="1" applyAlignment="1">
      <alignment wrapText="1"/>
    </xf>
    <xf numFmtId="0" fontId="6" fillId="2" borderId="21" xfId="0" applyFont="1" applyFill="1" applyBorder="1" applyAlignment="1">
      <alignment horizontal="center" wrapText="1"/>
    </xf>
    <xf numFmtId="0" fontId="8" fillId="0" borderId="7" xfId="0" applyFont="1" applyBorder="1" applyAlignment="1">
      <alignment horizontal="right" wrapText="1"/>
    </xf>
    <xf numFmtId="0" fontId="8" fillId="0" borderId="6" xfId="0" applyFont="1" applyBorder="1" applyAlignment="1">
      <alignment horizontal="right" wrapText="1"/>
    </xf>
    <xf numFmtId="0" fontId="8" fillId="0" borderId="6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10" fillId="0" borderId="7" xfId="0" applyFont="1" applyBorder="1" applyAlignment="1">
      <alignment horizontal="right" wrapText="1"/>
    </xf>
    <xf numFmtId="0" fontId="10" fillId="0" borderId="6" xfId="0" applyFont="1" applyBorder="1" applyAlignment="1">
      <alignment horizontal="right" wrapText="1"/>
    </xf>
    <xf numFmtId="0" fontId="11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right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6" fillId="0" borderId="18" xfId="0" applyFont="1" applyBorder="1" applyAlignment="1">
      <alignment horizontal="center" vertical="top" wrapText="1"/>
    </xf>
    <xf numFmtId="0" fontId="8" fillId="0" borderId="22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wrapText="1"/>
    </xf>
    <xf numFmtId="0" fontId="4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16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6" fillId="2" borderId="34" xfId="0" applyFont="1" applyFill="1" applyBorder="1" applyAlignment="1">
      <alignment horizontal="center" wrapText="1"/>
    </xf>
    <xf numFmtId="0" fontId="7" fillId="2" borderId="34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left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Fill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5" fillId="7" borderId="21" xfId="0" applyFont="1" applyFill="1" applyBorder="1" applyAlignment="1">
      <alignment horizontal="left" vertical="center" wrapText="1"/>
    </xf>
    <xf numFmtId="0" fontId="8" fillId="7" borderId="30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2" fontId="4" fillId="5" borderId="18" xfId="0" applyNumberFormat="1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6" xfId="0" applyBorder="1"/>
    <xf numFmtId="0" fontId="5" fillId="0" borderId="0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wrapText="1"/>
    </xf>
    <xf numFmtId="0" fontId="5" fillId="0" borderId="9" xfId="0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7" borderId="18" xfId="0" applyFont="1" applyFill="1" applyBorder="1" applyAlignment="1">
      <alignment horizontal="left" vertical="center" wrapText="1"/>
    </xf>
    <xf numFmtId="0" fontId="0" fillId="3" borderId="20" xfId="0" applyFill="1" applyBorder="1" applyAlignment="1">
      <alignment horizontal="center"/>
    </xf>
    <xf numFmtId="187" fontId="5" fillId="5" borderId="20" xfId="2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right" vertical="center" wrapText="1"/>
    </xf>
    <xf numFmtId="0" fontId="5" fillId="7" borderId="20" xfId="0" applyFont="1" applyFill="1" applyBorder="1" applyAlignment="1">
      <alignment horizontal="center" vertical="top" wrapText="1"/>
    </xf>
    <xf numFmtId="0" fontId="1" fillId="0" borderId="16" xfId="0" applyFont="1" applyBorder="1" applyAlignment="1">
      <alignment horizontal="right" vertical="center" wrapText="1"/>
    </xf>
    <xf numFmtId="2" fontId="4" fillId="3" borderId="18" xfId="0" quotePrefix="1" applyNumberFormat="1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0" fillId="8" borderId="0" xfId="0" applyFill="1" applyBorder="1"/>
    <xf numFmtId="0" fontId="0" fillId="8" borderId="0" xfId="0" applyFill="1" applyBorder="1" applyAlignment="1">
      <alignment horizontal="right"/>
    </xf>
    <xf numFmtId="0" fontId="0" fillId="8" borderId="20" xfId="0" applyFill="1" applyBorder="1" applyAlignment="1">
      <alignment horizontal="center"/>
    </xf>
    <xf numFmtId="193" fontId="0" fillId="8" borderId="0" xfId="2" applyNumberFormat="1" applyFont="1" applyFill="1" applyBorder="1" applyAlignment="1">
      <alignment horizontal="center"/>
    </xf>
    <xf numFmtId="0" fontId="0" fillId="8" borderId="6" xfId="0" applyFill="1" applyBorder="1"/>
    <xf numFmtId="2" fontId="0" fillId="3" borderId="20" xfId="0" applyNumberFormat="1" applyFill="1" applyBorder="1" applyAlignment="1">
      <alignment horizontal="center"/>
    </xf>
    <xf numFmtId="0" fontId="5" fillId="0" borderId="9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0" fillId="8" borderId="31" xfId="0" applyFill="1" applyBorder="1" applyAlignment="1">
      <alignment horizontal="center"/>
    </xf>
    <xf numFmtId="193" fontId="0" fillId="8" borderId="31" xfId="2" applyNumberFormat="1" applyFont="1" applyFill="1" applyBorder="1" applyAlignment="1">
      <alignment horizontal="center"/>
    </xf>
    <xf numFmtId="0" fontId="0" fillId="8" borderId="31" xfId="0" applyFill="1" applyBorder="1"/>
    <xf numFmtId="0" fontId="0" fillId="8" borderId="21" xfId="0" applyFill="1" applyBorder="1" applyAlignment="1">
      <alignment horizontal="right"/>
    </xf>
    <xf numFmtId="189" fontId="0" fillId="8" borderId="21" xfId="0" applyNumberFormat="1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21" xfId="0" applyFill="1" applyBorder="1"/>
    <xf numFmtId="0" fontId="0" fillId="8" borderId="28" xfId="0" applyFill="1" applyBorder="1"/>
    <xf numFmtId="0" fontId="0" fillId="3" borderId="34" xfId="0" applyFill="1" applyBorder="1" applyAlignment="1">
      <alignment horizontal="center"/>
    </xf>
    <xf numFmtId="0" fontId="0" fillId="8" borderId="26" xfId="0" applyFill="1" applyBorder="1" applyAlignment="1">
      <alignment horizontal="right"/>
    </xf>
    <xf numFmtId="0" fontId="0" fillId="8" borderId="26" xfId="0" applyFill="1" applyBorder="1" applyAlignment="1">
      <alignment horizontal="left"/>
    </xf>
    <xf numFmtId="0" fontId="0" fillId="8" borderId="26" xfId="0" applyFill="1" applyBorder="1"/>
    <xf numFmtId="193" fontId="0" fillId="8" borderId="12" xfId="2" applyNumberFormat="1" applyFont="1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193" fontId="0" fillId="8" borderId="26" xfId="0" applyNumberFormat="1" applyFill="1" applyBorder="1" applyAlignment="1">
      <alignment horizontal="center"/>
    </xf>
    <xf numFmtId="0" fontId="5" fillId="0" borderId="9" xfId="0" applyFont="1" applyBorder="1" applyAlignment="1">
      <alignment horizontal="right" vertical="center" wrapText="1"/>
    </xf>
    <xf numFmtId="0" fontId="0" fillId="8" borderId="0" xfId="0" applyFill="1" applyBorder="1" applyAlignment="1">
      <alignment horizontal="center"/>
    </xf>
    <xf numFmtId="0" fontId="5" fillId="0" borderId="0" xfId="0" applyFont="1" applyBorder="1" applyAlignment="1">
      <alignment horizontal="right" vertical="center" wrapText="1"/>
    </xf>
    <xf numFmtId="0" fontId="5" fillId="7" borderId="18" xfId="0" applyFont="1" applyFill="1" applyBorder="1" applyAlignment="1">
      <alignment horizontal="left" vertical="center" wrapText="1"/>
    </xf>
    <xf numFmtId="189" fontId="0" fillId="8" borderId="26" xfId="0" applyNumberFormat="1" applyFill="1" applyBorder="1" applyAlignment="1">
      <alignment horizontal="center"/>
    </xf>
    <xf numFmtId="0" fontId="0" fillId="8" borderId="18" xfId="0" applyFill="1" applyBorder="1" applyAlignment="1">
      <alignment horizontal="left"/>
    </xf>
    <xf numFmtId="0" fontId="0" fillId="8" borderId="15" xfId="0" applyFill="1" applyBorder="1" applyAlignment="1">
      <alignment horizontal="left"/>
    </xf>
    <xf numFmtId="193" fontId="0" fillId="8" borderId="37" xfId="2" applyNumberFormat="1" applyFont="1" applyFill="1" applyBorder="1" applyAlignment="1">
      <alignment horizontal="center"/>
    </xf>
    <xf numFmtId="0" fontId="0" fillId="8" borderId="12" xfId="0" applyFill="1" applyBorder="1"/>
    <xf numFmtId="0" fontId="0" fillId="8" borderId="28" xfId="0" applyFill="1" applyBorder="1" applyAlignment="1">
      <alignment horizontal="left" indent="2"/>
    </xf>
    <xf numFmtId="0" fontId="0" fillId="8" borderId="0" xfId="0" applyFill="1" applyBorder="1" applyAlignment="1">
      <alignment horizontal="center"/>
    </xf>
    <xf numFmtId="0" fontId="0" fillId="8" borderId="18" xfId="0" applyFill="1" applyBorder="1"/>
    <xf numFmtId="0" fontId="0" fillId="8" borderId="15" xfId="0" applyFill="1" applyBorder="1"/>
    <xf numFmtId="0" fontId="0" fillId="8" borderId="33" xfId="0" applyFill="1" applyBorder="1"/>
    <xf numFmtId="0" fontId="0" fillId="8" borderId="31" xfId="0" applyFill="1" applyBorder="1" applyAlignment="1">
      <alignment horizontal="right"/>
    </xf>
    <xf numFmtId="0" fontId="0" fillId="8" borderId="35" xfId="0" applyFill="1" applyBorder="1"/>
    <xf numFmtId="0" fontId="0" fillId="8" borderId="12" xfId="0" applyFill="1" applyBorder="1" applyAlignment="1">
      <alignment horizontal="right"/>
    </xf>
    <xf numFmtId="0" fontId="0" fillId="8" borderId="13" xfId="0" applyFill="1" applyBorder="1"/>
    <xf numFmtId="0" fontId="1" fillId="8" borderId="31" xfId="0" applyFont="1" applyFill="1" applyBorder="1"/>
    <xf numFmtId="0" fontId="28" fillId="8" borderId="31" xfId="0" applyFont="1" applyFill="1" applyBorder="1"/>
    <xf numFmtId="0" fontId="0" fillId="8" borderId="30" xfId="0" applyFill="1" applyBorder="1" applyAlignment="1">
      <alignment horizontal="center" vertical="center"/>
    </xf>
    <xf numFmtId="0" fontId="0" fillId="3" borderId="18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0" fillId="8" borderId="18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4" xfId="0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28" fillId="8" borderId="0" xfId="0" applyFont="1" applyFill="1" applyBorder="1"/>
    <xf numFmtId="0" fontId="29" fillId="8" borderId="0" xfId="0" applyFont="1" applyFill="1" applyBorder="1"/>
    <xf numFmtId="0" fontId="1" fillId="8" borderId="31" xfId="0" applyFont="1" applyFill="1" applyBorder="1" applyAlignment="1">
      <alignment horizontal="center"/>
    </xf>
    <xf numFmtId="0" fontId="0" fillId="8" borderId="24" xfId="0" applyFill="1" applyBorder="1"/>
    <xf numFmtId="0" fontId="0" fillId="8" borderId="39" xfId="0" applyFill="1" applyBorder="1"/>
    <xf numFmtId="0" fontId="2" fillId="8" borderId="31" xfId="0" applyFont="1" applyFill="1" applyBorder="1"/>
    <xf numFmtId="0" fontId="0" fillId="8" borderId="14" xfId="0" applyFill="1" applyBorder="1" applyAlignment="1">
      <alignment vertical="center"/>
    </xf>
    <xf numFmtId="0" fontId="0" fillId="8" borderId="18" xfId="0" applyFill="1" applyBorder="1" applyAlignment="1">
      <alignment vertical="center"/>
    </xf>
    <xf numFmtId="0" fontId="0" fillId="8" borderId="15" xfId="0" applyFill="1" applyBorder="1" applyAlignment="1">
      <alignment vertical="center"/>
    </xf>
    <xf numFmtId="0" fontId="3" fillId="8" borderId="38" xfId="0" applyFont="1" applyFill="1" applyBorder="1" applyAlignment="1">
      <alignment horizontal="left" vertical="center" indent="22"/>
    </xf>
    <xf numFmtId="195" fontId="0" fillId="8" borderId="18" xfId="2" applyNumberFormat="1" applyFont="1" applyFill="1" applyBorder="1" applyAlignment="1">
      <alignment horizontal="center"/>
    </xf>
    <xf numFmtId="188" fontId="0" fillId="8" borderId="26" xfId="0" applyNumberFormat="1" applyFill="1" applyBorder="1" applyAlignment="1">
      <alignment horizontal="center"/>
    </xf>
    <xf numFmtId="195" fontId="0" fillId="8" borderId="12" xfId="0" applyNumberFormat="1" applyFill="1" applyBorder="1"/>
    <xf numFmtId="0" fontId="0" fillId="0" borderId="14" xfId="0" applyFill="1" applyBorder="1"/>
    <xf numFmtId="0" fontId="0" fillId="0" borderId="18" xfId="0" applyFill="1" applyBorder="1"/>
    <xf numFmtId="0" fontId="0" fillId="0" borderId="15" xfId="0" applyFill="1" applyBorder="1"/>
    <xf numFmtId="0" fontId="21" fillId="8" borderId="31" xfId="0" applyFont="1" applyFill="1" applyBorder="1" applyAlignment="1">
      <alignment horizontal="right"/>
    </xf>
    <xf numFmtId="0" fontId="0" fillId="8" borderId="19" xfId="0" applyFill="1" applyBorder="1"/>
    <xf numFmtId="0" fontId="0" fillId="8" borderId="9" xfId="0" applyFill="1" applyBorder="1" applyAlignment="1">
      <alignment horizontal="right"/>
    </xf>
    <xf numFmtId="0" fontId="0" fillId="8" borderId="15" xfId="0" applyFill="1" applyBorder="1" applyAlignment="1">
      <alignment horizontal="center"/>
    </xf>
    <xf numFmtId="4" fontId="0" fillId="8" borderId="20" xfId="2" applyNumberFormat="1" applyFont="1" applyFill="1" applyBorder="1" applyAlignment="1">
      <alignment horizontal="center"/>
    </xf>
    <xf numFmtId="196" fontId="0" fillId="8" borderId="20" xfId="0" applyNumberFormat="1" applyFill="1" applyBorder="1" applyAlignment="1">
      <alignment horizontal="center"/>
    </xf>
    <xf numFmtId="0" fontId="30" fillId="8" borderId="18" xfId="0" applyFont="1" applyFill="1" applyBorder="1" applyAlignment="1">
      <alignment vertical="center"/>
    </xf>
    <xf numFmtId="0" fontId="0" fillId="3" borderId="18" xfId="0" applyFill="1" applyBorder="1" applyAlignment="1">
      <alignment horizontal="left" indent="1"/>
    </xf>
    <xf numFmtId="0" fontId="0" fillId="8" borderId="39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2" fontId="0" fillId="8" borderId="0" xfId="0" applyNumberFormat="1" applyFill="1" applyBorder="1" applyAlignment="1">
      <alignment horizontal="center"/>
    </xf>
    <xf numFmtId="0" fontId="0" fillId="8" borderId="31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31" fillId="8" borderId="31" xfId="0" applyFont="1" applyFill="1" applyBorder="1" applyAlignment="1">
      <alignment horizontal="center"/>
    </xf>
    <xf numFmtId="0" fontId="31" fillId="8" borderId="31" xfId="0" applyFont="1" applyFill="1" applyBorder="1" applyAlignment="1">
      <alignment horizontal="left"/>
    </xf>
    <xf numFmtId="193" fontId="0" fillId="8" borderId="35" xfId="2" applyNumberFormat="1" applyFont="1" applyFill="1" applyBorder="1" applyAlignment="1">
      <alignment horizontal="center"/>
    </xf>
    <xf numFmtId="193" fontId="0" fillId="8" borderId="32" xfId="2" applyNumberFormat="1" applyFont="1" applyFill="1" applyBorder="1" applyAlignment="1">
      <alignment horizontal="center"/>
    </xf>
    <xf numFmtId="193" fontId="0" fillId="8" borderId="36" xfId="2" applyNumberFormat="1" applyFont="1" applyFill="1" applyBorder="1" applyAlignment="1">
      <alignment horizontal="center"/>
    </xf>
    <xf numFmtId="0" fontId="0" fillId="8" borderId="34" xfId="0" applyFill="1" applyBorder="1" applyAlignment="1">
      <alignment horizontal="center" vertical="center"/>
    </xf>
    <xf numFmtId="0" fontId="28" fillId="8" borderId="42" xfId="0" applyFont="1" applyFill="1" applyBorder="1"/>
    <xf numFmtId="193" fontId="0" fillId="8" borderId="41" xfId="2" applyNumberFormat="1" applyFont="1" applyFill="1" applyBorder="1" applyAlignment="1">
      <alignment horizontal="center"/>
    </xf>
    <xf numFmtId="0" fontId="0" fillId="8" borderId="43" xfId="0" applyFill="1" applyBorder="1"/>
    <xf numFmtId="0" fontId="1" fillId="8" borderId="42" xfId="0" applyFont="1" applyFill="1" applyBorder="1"/>
    <xf numFmtId="0" fontId="0" fillId="8" borderId="42" xfId="0" applyFill="1" applyBorder="1"/>
    <xf numFmtId="193" fontId="0" fillId="8" borderId="43" xfId="2" applyNumberFormat="1" applyFont="1" applyFill="1" applyBorder="1" applyAlignment="1">
      <alignment horizontal="center"/>
    </xf>
    <xf numFmtId="0" fontId="5" fillId="0" borderId="11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11" fillId="7" borderId="26" xfId="0" applyFont="1" applyFill="1" applyBorder="1" applyAlignment="1">
      <alignment horizontal="left" vertical="center" wrapText="1"/>
    </xf>
    <xf numFmtId="3" fontId="1" fillId="7" borderId="18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1" fillId="7" borderId="21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7" borderId="18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right" vertical="center" wrapText="1"/>
    </xf>
    <xf numFmtId="0" fontId="5" fillId="7" borderId="26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4" fillId="0" borderId="11" xfId="0" applyFont="1" applyBorder="1" applyAlignment="1">
      <alignment horizontal="right" vertical="top" wrapText="1"/>
    </xf>
    <xf numFmtId="0" fontId="4" fillId="0" borderId="9" xfId="0" applyFont="1" applyBorder="1" applyAlignment="1">
      <alignment horizontal="right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right" vertical="top" wrapText="1"/>
    </xf>
    <xf numFmtId="0" fontId="4" fillId="0" borderId="8" xfId="0" applyFont="1" applyBorder="1" applyAlignment="1">
      <alignment horizontal="right" wrapText="1"/>
    </xf>
    <xf numFmtId="0" fontId="4" fillId="0" borderId="0" xfId="0" applyFont="1" applyBorder="1" applyAlignment="1">
      <alignment horizontal="right" wrapText="1"/>
    </xf>
    <xf numFmtId="0" fontId="8" fillId="7" borderId="21" xfId="0" applyFont="1" applyFill="1" applyBorder="1" applyAlignment="1">
      <alignment horizontal="left" vertical="center" wrapText="1"/>
    </xf>
    <xf numFmtId="0" fontId="8" fillId="7" borderId="13" xfId="0" applyFont="1" applyFill="1" applyBorder="1" applyAlignment="1">
      <alignment horizontal="left" vertical="center" wrapText="1"/>
    </xf>
    <xf numFmtId="0" fontId="8" fillId="7" borderId="18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0" fillId="6" borderId="18" xfId="0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 wrapText="1"/>
    </xf>
    <xf numFmtId="3" fontId="1" fillId="7" borderId="21" xfId="0" applyNumberFormat="1" applyFont="1" applyFill="1" applyBorder="1" applyAlignment="1">
      <alignment horizontal="left" vertical="center" wrapText="1"/>
    </xf>
    <xf numFmtId="0" fontId="15" fillId="7" borderId="18" xfId="0" applyFont="1" applyFill="1" applyBorder="1" applyAlignment="1">
      <alignment horizontal="left" vertical="center" wrapText="1"/>
    </xf>
    <xf numFmtId="0" fontId="15" fillId="7" borderId="15" xfId="0" applyFont="1" applyFill="1" applyBorder="1" applyAlignment="1">
      <alignment horizontal="left" vertical="center" wrapText="1"/>
    </xf>
    <xf numFmtId="0" fontId="0" fillId="6" borderId="23" xfId="0" applyFill="1" applyBorder="1" applyAlignment="1">
      <alignment horizontal="center" vertical="center" wrapText="1"/>
    </xf>
    <xf numFmtId="14" fontId="1" fillId="7" borderId="18" xfId="0" applyNumberFormat="1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right" vertical="center" wrapText="1"/>
    </xf>
    <xf numFmtId="3" fontId="0" fillId="6" borderId="18" xfId="0" applyNumberFormat="1" applyFill="1" applyBorder="1" applyAlignment="1">
      <alignment horizontal="left" vertical="center" wrapText="1"/>
    </xf>
    <xf numFmtId="3" fontId="0" fillId="6" borderId="23" xfId="0" applyNumberFormat="1" applyFill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top" wrapText="1"/>
    </xf>
    <xf numFmtId="0" fontId="5" fillId="7" borderId="18" xfId="0" applyFont="1" applyFill="1" applyBorder="1" applyAlignment="1">
      <alignment vertical="top" wrapText="1"/>
    </xf>
    <xf numFmtId="0" fontId="5" fillId="0" borderId="18" xfId="0" applyFont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0" fillId="6" borderId="18" xfId="0" applyFill="1" applyBorder="1" applyAlignment="1">
      <alignment horizontal="left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29" fillId="7" borderId="18" xfId="0" applyFont="1" applyFill="1" applyBorder="1" applyAlignment="1">
      <alignment horizontal="left" vertical="center" wrapText="1"/>
    </xf>
    <xf numFmtId="0" fontId="29" fillId="7" borderId="23" xfId="0" applyFont="1" applyFill="1" applyBorder="1" applyAlignment="1">
      <alignment horizontal="left" vertical="center" wrapText="1"/>
    </xf>
    <xf numFmtId="0" fontId="5" fillId="7" borderId="18" xfId="0" applyFont="1" applyFill="1" applyBorder="1" applyAlignment="1">
      <alignment horizontal="left" vertical="center" wrapText="1"/>
    </xf>
    <xf numFmtId="0" fontId="5" fillId="7" borderId="23" xfId="0" applyFont="1" applyFill="1" applyBorder="1" applyAlignment="1">
      <alignment horizontal="left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left" vertical="center" wrapText="1"/>
    </xf>
    <xf numFmtId="0" fontId="5" fillId="7" borderId="22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7" borderId="21" xfId="0" applyFont="1" applyFill="1" applyBorder="1" applyAlignment="1">
      <alignment horizontal="left" vertical="center" wrapText="1"/>
    </xf>
    <xf numFmtId="0" fontId="1" fillId="7" borderId="22" xfId="0" applyFont="1" applyFill="1" applyBorder="1" applyAlignment="1">
      <alignment horizontal="left" vertical="center" wrapText="1"/>
    </xf>
    <xf numFmtId="0" fontId="0" fillId="6" borderId="23" xfId="0" applyFill="1" applyBorder="1" applyAlignment="1">
      <alignment horizontal="left" vertical="center" wrapText="1"/>
    </xf>
    <xf numFmtId="192" fontId="26" fillId="6" borderId="18" xfId="2" applyNumberFormat="1" applyFont="1" applyFill="1" applyBorder="1" applyAlignment="1">
      <alignment horizontal="center" vertical="center" wrapText="1"/>
    </xf>
    <xf numFmtId="192" fontId="26" fillId="6" borderId="23" xfId="2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 wrapText="1"/>
    </xf>
    <xf numFmtId="3" fontId="0" fillId="6" borderId="21" xfId="0" applyNumberFormat="1" applyFill="1" applyBorder="1" applyAlignment="1">
      <alignment horizontal="left" vertical="center" wrapText="1"/>
    </xf>
    <xf numFmtId="3" fontId="0" fillId="6" borderId="22" xfId="0" applyNumberFormat="1" applyFill="1" applyBorder="1" applyAlignment="1">
      <alignment horizontal="left" vertical="center" wrapText="1"/>
    </xf>
    <xf numFmtId="0" fontId="0" fillId="8" borderId="28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26" xfId="0" applyFill="1" applyBorder="1" applyAlignment="1">
      <alignment horizontal="left"/>
    </xf>
  </cellXfs>
  <cellStyles count="17">
    <cellStyle name="Besuchter Hyperlink" xfId="6"/>
    <cellStyle name="Comma" xfId="2" builtinId="3"/>
    <cellStyle name="Hyperlink_ตัวย่อประเทศ" xfId="9"/>
    <cellStyle name="Normal" xfId="0" builtinId="0"/>
    <cellStyle name="Normal 10" xfId="10"/>
    <cellStyle name="Normal 2" xfId="1"/>
    <cellStyle name="Normal 3" xfId="7"/>
    <cellStyle name="Normal 4" xfId="8"/>
    <cellStyle name="Normal 5" xfId="11"/>
    <cellStyle name="Normal 6" xfId="12"/>
    <cellStyle name="Normal 66" xfId="13"/>
    <cellStyle name="Normal 7" xfId="14"/>
    <cellStyle name="Normal 8" xfId="15"/>
    <cellStyle name="Normal 9" xfId="16"/>
    <cellStyle name="Style 1" xfId="5"/>
    <cellStyle name="เครื่องหมายจุลภาค_080309 output calcutlation locked english" xfId="4"/>
    <cellStyle name="ปกติ_080309 output calcutlation locked english" xfId="3"/>
  </cellStyles>
  <dxfs count="15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0" tint="-0.2499465926084170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30</xdr:row>
      <xdr:rowOff>38101</xdr:rowOff>
    </xdr:from>
    <xdr:to>
      <xdr:col>9</xdr:col>
      <xdr:colOff>129874</xdr:colOff>
      <xdr:row>42</xdr:row>
      <xdr:rowOff>57150</xdr:rowOff>
    </xdr:to>
    <xdr:grpSp>
      <xdr:nvGrpSpPr>
        <xdr:cNvPr id="4" name="Group 3"/>
        <xdr:cNvGrpSpPr/>
      </xdr:nvGrpSpPr>
      <xdr:grpSpPr>
        <a:xfrm>
          <a:off x="4467225" y="5724526"/>
          <a:ext cx="3520774" cy="2400299"/>
          <a:chOff x="3467100" y="5381626"/>
          <a:chExt cx="2730199" cy="2200274"/>
        </a:xfrm>
      </xdr:grpSpPr>
      <xdr:pic>
        <xdr:nvPicPr>
          <xdr:cNvPr id="1025" name="Picture 1" descr="Tube F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contrast="5000"/>
          </a:blip>
          <a:srcRect/>
          <a:stretch>
            <a:fillRect/>
          </a:stretch>
        </xdr:blipFill>
        <xdr:spPr bwMode="auto">
          <a:xfrm>
            <a:off x="3467100" y="5381626"/>
            <a:ext cx="2730199" cy="17145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3" name="TextBox 2"/>
          <xdr:cNvSpPr txBox="1"/>
        </xdr:nvSpPr>
        <xdr:spPr>
          <a:xfrm>
            <a:off x="4410075" y="7324725"/>
            <a:ext cx="666750" cy="2571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Drawing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3:N168"/>
  <sheetViews>
    <sheetView tabSelected="1" zoomScaleNormal="100" workbookViewId="0">
      <pane xSplit="10" topLeftCell="K1" activePane="topRight" state="frozen"/>
      <selection pane="topRight" activeCell="N9" sqref="N9"/>
    </sheetView>
  </sheetViews>
  <sheetFormatPr defaultRowHeight="14.25"/>
  <cols>
    <col min="1" max="1" width="2.125" customWidth="1"/>
    <col min="2" max="2" width="17.125" customWidth="1"/>
    <col min="3" max="3" width="12.875" customWidth="1"/>
    <col min="4" max="4" width="13.625" customWidth="1"/>
    <col min="5" max="5" width="10.25" customWidth="1"/>
    <col min="6" max="6" width="10.75" customWidth="1"/>
    <col min="7" max="7" width="12.625" customWidth="1"/>
    <col min="8" max="8" width="14.625" customWidth="1"/>
    <col min="9" max="9" width="9.125" customWidth="1"/>
    <col min="10" max="10" width="4.875" customWidth="1"/>
    <col min="11" max="11" width="3.25" customWidth="1"/>
  </cols>
  <sheetData>
    <row r="3" spans="2:10" ht="18.75" customHeight="1" thickBot="1"/>
    <row r="4" spans="2:10" ht="25.5" customHeight="1">
      <c r="B4" s="190" t="s">
        <v>63</v>
      </c>
      <c r="C4" s="191"/>
      <c r="D4" s="191"/>
      <c r="E4" s="191"/>
      <c r="F4" s="191"/>
      <c r="G4" s="191"/>
      <c r="H4" s="191"/>
      <c r="I4" s="191"/>
      <c r="J4" s="192"/>
    </row>
    <row r="5" spans="2:10" s="46" customFormat="1" ht="20.25" customHeight="1">
      <c r="B5" s="76" t="s">
        <v>37</v>
      </c>
      <c r="C5" s="212" t="s">
        <v>111</v>
      </c>
      <c r="D5" s="213"/>
      <c r="E5" s="220" t="s">
        <v>38</v>
      </c>
      <c r="F5" s="220"/>
      <c r="G5" s="212" t="s">
        <v>129</v>
      </c>
      <c r="H5" s="212"/>
      <c r="I5" s="212"/>
      <c r="J5" s="217"/>
    </row>
    <row r="6" spans="2:10" s="46" customFormat="1" ht="17.25" customHeight="1">
      <c r="B6" s="55" t="s">
        <v>15</v>
      </c>
      <c r="C6" s="218">
        <v>41998</v>
      </c>
      <c r="D6" s="219"/>
      <c r="E6" s="233" t="s">
        <v>39</v>
      </c>
      <c r="F6" s="233"/>
      <c r="G6" s="219" t="s">
        <v>128</v>
      </c>
      <c r="H6" s="219"/>
      <c r="I6" s="219"/>
      <c r="J6" s="235"/>
    </row>
    <row r="7" spans="2:10" ht="5.25" customHeight="1" thickBot="1">
      <c r="B7" s="14"/>
      <c r="C7" s="15"/>
      <c r="D7" s="15"/>
      <c r="E7" s="15"/>
      <c r="F7" s="15"/>
      <c r="G7" s="15"/>
      <c r="H7" s="15"/>
      <c r="I7" s="7"/>
      <c r="J7" s="22"/>
    </row>
    <row r="8" spans="2:10" ht="18.75" customHeight="1">
      <c r="B8" s="35" t="s">
        <v>22</v>
      </c>
      <c r="C8" s="247" t="s">
        <v>130</v>
      </c>
      <c r="D8" s="247"/>
      <c r="E8" s="247"/>
      <c r="F8" s="247"/>
      <c r="G8" s="247"/>
      <c r="H8" s="247"/>
      <c r="I8" s="247"/>
      <c r="J8" s="248"/>
    </row>
    <row r="9" spans="2:10" ht="15.75" customHeight="1">
      <c r="B9" s="55" t="s">
        <v>21</v>
      </c>
      <c r="C9" s="234" t="s">
        <v>131</v>
      </c>
      <c r="D9" s="234"/>
      <c r="E9" s="234"/>
      <c r="F9" s="234"/>
      <c r="G9" s="54" t="s">
        <v>66</v>
      </c>
      <c r="H9" s="250">
        <v>1000</v>
      </c>
      <c r="I9" s="250"/>
      <c r="J9" s="251"/>
    </row>
    <row r="10" spans="2:10" ht="15.75" customHeight="1">
      <c r="B10" s="55" t="s">
        <v>35</v>
      </c>
      <c r="C10" s="234" t="s">
        <v>132</v>
      </c>
      <c r="D10" s="234"/>
      <c r="E10" s="234"/>
      <c r="F10" s="234"/>
      <c r="G10" s="39" t="s">
        <v>36</v>
      </c>
      <c r="H10" s="234" t="s">
        <v>133</v>
      </c>
      <c r="I10" s="234"/>
      <c r="J10" s="249"/>
    </row>
    <row r="11" spans="2:10" ht="5.25" customHeight="1" thickBot="1">
      <c r="B11" s="23"/>
      <c r="C11" s="24"/>
      <c r="D11" s="1"/>
      <c r="E11" s="1"/>
      <c r="F11" s="1"/>
      <c r="G11" s="1"/>
      <c r="H11" s="1"/>
      <c r="I11" s="1"/>
      <c r="J11" s="3"/>
    </row>
    <row r="12" spans="2:10" s="46" customFormat="1" ht="15.75" customHeight="1">
      <c r="B12" s="175" t="s">
        <v>40</v>
      </c>
      <c r="C12" s="252"/>
      <c r="D12" s="214"/>
      <c r="E12" s="214"/>
      <c r="F12" s="252" t="s">
        <v>77</v>
      </c>
      <c r="G12" s="252"/>
      <c r="H12" s="253"/>
      <c r="I12" s="253"/>
      <c r="J12" s="254"/>
    </row>
    <row r="13" spans="2:10" s="46" customFormat="1" ht="15.75" customHeight="1">
      <c r="B13" s="176" t="s">
        <v>62</v>
      </c>
      <c r="C13" s="185"/>
      <c r="D13" s="178"/>
      <c r="E13" s="178"/>
      <c r="F13" s="185" t="s">
        <v>17</v>
      </c>
      <c r="G13" s="185"/>
      <c r="H13" s="221"/>
      <c r="I13" s="221"/>
      <c r="J13" s="222"/>
    </row>
    <row r="14" spans="2:10" s="46" customFormat="1" ht="15.75" customHeight="1">
      <c r="B14" s="176" t="s">
        <v>3</v>
      </c>
      <c r="C14" s="185"/>
      <c r="D14" s="178"/>
      <c r="E14" s="178"/>
      <c r="F14" s="223" t="s">
        <v>18</v>
      </c>
      <c r="G14" s="223"/>
      <c r="H14" s="221"/>
      <c r="I14" s="221"/>
      <c r="J14" s="222"/>
    </row>
    <row r="15" spans="2:10" s="46" customFormat="1" ht="15.75" customHeight="1">
      <c r="B15" s="176" t="s">
        <v>4</v>
      </c>
      <c r="C15" s="185"/>
      <c r="D15" s="178"/>
      <c r="E15" s="178"/>
      <c r="F15" s="223" t="s">
        <v>19</v>
      </c>
      <c r="G15" s="223"/>
      <c r="H15" s="221"/>
      <c r="I15" s="221"/>
      <c r="J15" s="222"/>
    </row>
    <row r="16" spans="2:10" s="46" customFormat="1" ht="15.75" customHeight="1">
      <c r="B16" s="176" t="s">
        <v>5</v>
      </c>
      <c r="C16" s="185"/>
      <c r="D16" s="178"/>
      <c r="E16" s="178"/>
      <c r="F16" s="223" t="s">
        <v>20</v>
      </c>
      <c r="G16" s="223"/>
      <c r="H16" s="221"/>
      <c r="I16" s="221"/>
      <c r="J16" s="222"/>
    </row>
    <row r="17" spans="2:14" ht="4.5" customHeight="1" thickBot="1">
      <c r="B17" s="4"/>
      <c r="C17" s="2"/>
      <c r="D17" s="5"/>
      <c r="E17" s="5"/>
      <c r="F17" s="8"/>
      <c r="G17" s="8"/>
      <c r="H17" s="8"/>
      <c r="I17" s="8"/>
      <c r="J17" s="16"/>
    </row>
    <row r="18" spans="2:14" ht="15.75" customHeight="1" thickBot="1">
      <c r="B18" s="4"/>
      <c r="C18" s="2"/>
      <c r="D18" s="5"/>
      <c r="E18" s="5"/>
      <c r="F18" s="6"/>
      <c r="G18" s="6"/>
      <c r="H18" s="2"/>
      <c r="I18" s="9"/>
      <c r="J18" s="13"/>
    </row>
    <row r="19" spans="2:14" ht="15.75" customHeight="1" thickBot="1">
      <c r="B19" s="179" t="s">
        <v>6</v>
      </c>
      <c r="C19" s="180"/>
      <c r="D19" s="226" t="s">
        <v>7</v>
      </c>
      <c r="E19" s="226"/>
      <c r="F19" s="226"/>
      <c r="G19" s="227"/>
      <c r="H19" s="12" t="s">
        <v>34</v>
      </c>
      <c r="I19" s="224" t="s">
        <v>8</v>
      </c>
      <c r="J19" s="225"/>
    </row>
    <row r="20" spans="2:14" ht="15.75" customHeight="1">
      <c r="B20" s="202" t="s">
        <v>50</v>
      </c>
      <c r="C20" s="203"/>
      <c r="D20" s="208" t="s">
        <v>9</v>
      </c>
      <c r="E20" s="208"/>
      <c r="F20" s="208"/>
      <c r="G20" s="209"/>
      <c r="H20" s="57" t="s">
        <v>75</v>
      </c>
      <c r="I20" s="78">
        <v>10</v>
      </c>
      <c r="J20" s="37" t="s">
        <v>16</v>
      </c>
    </row>
    <row r="21" spans="2:14" ht="15.75" customHeight="1">
      <c r="B21" s="204" t="s">
        <v>51</v>
      </c>
      <c r="C21" s="205"/>
      <c r="D21" s="210" t="s">
        <v>10</v>
      </c>
      <c r="E21" s="210"/>
      <c r="F21" s="210"/>
      <c r="G21" s="211"/>
      <c r="H21" s="58">
        <v>100</v>
      </c>
      <c r="I21" s="79">
        <v>10</v>
      </c>
      <c r="J21" s="38" t="s">
        <v>16</v>
      </c>
    </row>
    <row r="22" spans="2:14" ht="15.75" customHeight="1">
      <c r="B22" s="204" t="s">
        <v>52</v>
      </c>
      <c r="C22" s="205"/>
      <c r="D22" s="210" t="s">
        <v>10</v>
      </c>
      <c r="E22" s="210"/>
      <c r="F22" s="210"/>
      <c r="G22" s="211"/>
      <c r="H22" s="58">
        <v>100</v>
      </c>
      <c r="I22" s="79">
        <v>101</v>
      </c>
      <c r="J22" s="38" t="s">
        <v>16</v>
      </c>
    </row>
    <row r="23" spans="2:14" ht="15.75" customHeight="1">
      <c r="B23" s="204" t="s">
        <v>51</v>
      </c>
      <c r="C23" s="205"/>
      <c r="D23" s="210" t="s">
        <v>10</v>
      </c>
      <c r="E23" s="210"/>
      <c r="F23" s="210"/>
      <c r="G23" s="211"/>
      <c r="H23" s="58">
        <v>100</v>
      </c>
      <c r="I23" s="79">
        <v>1</v>
      </c>
      <c r="J23" s="38" t="s">
        <v>16</v>
      </c>
    </row>
    <row r="24" spans="2:14" ht="15.75" customHeight="1">
      <c r="B24" s="204" t="s">
        <v>53</v>
      </c>
      <c r="C24" s="205"/>
      <c r="D24" s="215" t="s">
        <v>11</v>
      </c>
      <c r="E24" s="215"/>
      <c r="F24" s="215"/>
      <c r="G24" s="216"/>
      <c r="H24" s="58" t="s">
        <v>75</v>
      </c>
      <c r="I24" s="79">
        <v>10</v>
      </c>
      <c r="J24" s="38" t="s">
        <v>16</v>
      </c>
    </row>
    <row r="25" spans="2:14" ht="15.75" customHeight="1">
      <c r="B25" s="182" t="s">
        <v>61</v>
      </c>
      <c r="C25" s="183"/>
      <c r="D25" s="184" t="s">
        <v>115</v>
      </c>
      <c r="E25" s="184"/>
      <c r="F25" s="184"/>
      <c r="G25" s="184"/>
      <c r="H25" s="74" t="s">
        <v>60</v>
      </c>
      <c r="I25" s="36">
        <v>10</v>
      </c>
      <c r="J25" s="38" t="s">
        <v>12</v>
      </c>
    </row>
    <row r="26" spans="2:14" ht="15.75" customHeight="1">
      <c r="B26" s="204" t="s">
        <v>54</v>
      </c>
      <c r="C26" s="205"/>
      <c r="D26" s="228" t="s">
        <v>93</v>
      </c>
      <c r="E26" s="228"/>
      <c r="F26" s="228"/>
      <c r="G26" s="228"/>
      <c r="H26" s="75" t="s">
        <v>94</v>
      </c>
      <c r="I26" s="80">
        <v>10</v>
      </c>
      <c r="J26" s="38" t="s">
        <v>12</v>
      </c>
    </row>
    <row r="27" spans="2:14" ht="15.75" customHeight="1">
      <c r="B27" s="206" t="s">
        <v>55</v>
      </c>
      <c r="C27" s="207"/>
      <c r="D27" s="238" t="s">
        <v>13</v>
      </c>
      <c r="E27" s="238"/>
      <c r="F27" s="238"/>
      <c r="G27" s="238"/>
      <c r="H27" s="238"/>
      <c r="I27" s="238"/>
      <c r="J27" s="239"/>
    </row>
    <row r="28" spans="2:14" ht="5.25" customHeight="1" thickBot="1">
      <c r="B28" s="42"/>
      <c r="C28" s="2"/>
      <c r="D28" s="49"/>
      <c r="E28" s="10"/>
      <c r="F28" s="10"/>
      <c r="G28" s="10"/>
      <c r="H28" s="10"/>
      <c r="I28" s="10"/>
      <c r="J28" s="27"/>
    </row>
    <row r="29" spans="2:14" ht="16.5" customHeight="1">
      <c r="B29" s="17" t="s">
        <v>1</v>
      </c>
      <c r="C29" s="47" t="s">
        <v>2</v>
      </c>
      <c r="D29" s="48" t="s">
        <v>56</v>
      </c>
      <c r="E29" s="18" t="s">
        <v>79</v>
      </c>
      <c r="F29" s="193"/>
      <c r="G29" s="194"/>
      <c r="H29" s="194"/>
      <c r="I29" s="194"/>
      <c r="J29" s="195"/>
      <c r="L29" s="62"/>
      <c r="M29" s="62"/>
      <c r="N29" s="62"/>
    </row>
    <row r="30" spans="2:14" s="46" customFormat="1" ht="14.25" customHeight="1">
      <c r="B30" s="45" t="s">
        <v>41</v>
      </c>
      <c r="C30" s="72" t="s">
        <v>81</v>
      </c>
      <c r="D30" s="59">
        <v>50</v>
      </c>
      <c r="E30" s="60" t="s">
        <v>12</v>
      </c>
      <c r="F30" s="196"/>
      <c r="G30" s="197"/>
      <c r="H30" s="197"/>
      <c r="I30" s="197"/>
      <c r="J30" s="198"/>
      <c r="L30" s="61"/>
      <c r="M30" s="61"/>
      <c r="N30" s="61"/>
    </row>
    <row r="31" spans="2:14" s="46" customFormat="1" ht="15" customHeight="1">
      <c r="B31" s="65" t="s">
        <v>78</v>
      </c>
      <c r="C31" s="73" t="s">
        <v>82</v>
      </c>
      <c r="D31" s="59">
        <v>158</v>
      </c>
      <c r="E31" s="60" t="s">
        <v>12</v>
      </c>
      <c r="F31" s="196"/>
      <c r="G31" s="197"/>
      <c r="H31" s="197"/>
      <c r="I31" s="197"/>
      <c r="J31" s="198"/>
      <c r="L31" s="61"/>
      <c r="M31" s="61"/>
      <c r="N31" s="61"/>
    </row>
    <row r="32" spans="2:14" s="46" customFormat="1" ht="15.75" customHeight="1">
      <c r="B32" s="68" t="s">
        <v>112</v>
      </c>
      <c r="C32" s="73" t="s">
        <v>83</v>
      </c>
      <c r="D32" s="59" t="e">
        <f>#REF!</f>
        <v>#REF!</v>
      </c>
      <c r="E32" s="60" t="s">
        <v>16</v>
      </c>
      <c r="F32" s="196"/>
      <c r="G32" s="197"/>
      <c r="H32" s="197"/>
      <c r="I32" s="197"/>
      <c r="J32" s="198"/>
      <c r="L32" s="61"/>
      <c r="M32" s="61"/>
      <c r="N32" s="61"/>
    </row>
    <row r="33" spans="2:14" s="46" customFormat="1" ht="15.75" customHeight="1">
      <c r="B33" s="43" t="s">
        <v>42</v>
      </c>
      <c r="C33" s="73" t="s">
        <v>84</v>
      </c>
      <c r="D33" s="59">
        <v>5</v>
      </c>
      <c r="E33" s="60" t="s">
        <v>12</v>
      </c>
      <c r="F33" s="196"/>
      <c r="G33" s="197"/>
      <c r="H33" s="197"/>
      <c r="I33" s="197"/>
      <c r="J33" s="198"/>
      <c r="L33" s="61"/>
      <c r="M33" s="61"/>
      <c r="N33" s="61"/>
    </row>
    <row r="34" spans="2:14" s="46" customFormat="1" ht="15" customHeight="1">
      <c r="B34" s="43" t="s">
        <v>43</v>
      </c>
      <c r="C34" s="73" t="s">
        <v>85</v>
      </c>
      <c r="D34" s="59" t="e">
        <f>#REF!</f>
        <v>#REF!</v>
      </c>
      <c r="E34" s="60" t="s">
        <v>73</v>
      </c>
      <c r="F34" s="196"/>
      <c r="G34" s="197"/>
      <c r="H34" s="197"/>
      <c r="I34" s="197"/>
      <c r="J34" s="198"/>
      <c r="L34" s="62"/>
      <c r="M34" s="62"/>
      <c r="N34" s="62"/>
    </row>
    <row r="35" spans="2:14" s="46" customFormat="1" ht="15" customHeight="1">
      <c r="B35" s="68" t="s">
        <v>44</v>
      </c>
      <c r="C35" s="73" t="s">
        <v>86</v>
      </c>
      <c r="D35" s="59" t="e">
        <f>D31+#REF!</f>
        <v>#REF!</v>
      </c>
      <c r="E35" s="60" t="s">
        <v>12</v>
      </c>
      <c r="F35" s="196"/>
      <c r="G35" s="197"/>
      <c r="H35" s="197"/>
      <c r="I35" s="197"/>
      <c r="J35" s="198"/>
      <c r="L35" s="61"/>
      <c r="M35" s="61"/>
      <c r="N35" s="61"/>
    </row>
    <row r="36" spans="2:14" s="46" customFormat="1" ht="16.5" customHeight="1">
      <c r="B36" s="68" t="s">
        <v>58</v>
      </c>
      <c r="C36" s="73" t="s">
        <v>80</v>
      </c>
      <c r="D36" s="59" t="e">
        <f>D32+D34</f>
        <v>#REF!</v>
      </c>
      <c r="E36" s="60" t="s">
        <v>16</v>
      </c>
      <c r="F36" s="196"/>
      <c r="G36" s="197"/>
      <c r="H36" s="197"/>
      <c r="I36" s="197"/>
      <c r="J36" s="198"/>
      <c r="L36" s="61"/>
      <c r="M36" s="61"/>
      <c r="N36" s="61"/>
    </row>
    <row r="37" spans="2:14" s="46" customFormat="1" ht="15" customHeight="1">
      <c r="B37" s="43" t="s">
        <v>45</v>
      </c>
      <c r="C37" s="73" t="s">
        <v>87</v>
      </c>
      <c r="D37" s="59">
        <f>D31-4</f>
        <v>154</v>
      </c>
      <c r="E37" s="60" t="s">
        <v>12</v>
      </c>
      <c r="F37" s="196"/>
      <c r="G37" s="197"/>
      <c r="H37" s="197"/>
      <c r="I37" s="197"/>
      <c r="J37" s="198"/>
      <c r="L37" s="62"/>
      <c r="M37" s="62"/>
      <c r="N37" s="62"/>
    </row>
    <row r="38" spans="2:14" s="46" customFormat="1" ht="15" customHeight="1">
      <c r="B38" s="43" t="s">
        <v>47</v>
      </c>
      <c r="C38" s="73" t="s">
        <v>89</v>
      </c>
      <c r="D38" s="59">
        <v>42.6</v>
      </c>
      <c r="E38" s="60" t="s">
        <v>12</v>
      </c>
      <c r="F38" s="196"/>
      <c r="G38" s="197"/>
      <c r="H38" s="197"/>
      <c r="I38" s="197"/>
      <c r="J38" s="198"/>
    </row>
    <row r="39" spans="2:14" s="46" customFormat="1" ht="17.25" customHeight="1">
      <c r="B39" s="43" t="s">
        <v>48</v>
      </c>
      <c r="C39" s="73" t="s">
        <v>90</v>
      </c>
      <c r="D39" s="59">
        <v>24</v>
      </c>
      <c r="E39" s="60" t="s">
        <v>12</v>
      </c>
      <c r="F39" s="196"/>
      <c r="G39" s="197"/>
      <c r="H39" s="197"/>
      <c r="I39" s="197"/>
      <c r="J39" s="198"/>
    </row>
    <row r="40" spans="2:14" s="46" customFormat="1" ht="17.25" customHeight="1">
      <c r="B40" s="43" t="s">
        <v>59</v>
      </c>
      <c r="C40" s="73" t="s">
        <v>92</v>
      </c>
      <c r="D40" s="59">
        <v>9</v>
      </c>
      <c r="E40" s="60" t="s">
        <v>73</v>
      </c>
      <c r="F40" s="196"/>
      <c r="G40" s="197"/>
      <c r="H40" s="197"/>
      <c r="I40" s="197"/>
      <c r="J40" s="198"/>
    </row>
    <row r="41" spans="2:14" s="46" customFormat="1" ht="15" customHeight="1">
      <c r="B41" s="68" t="s">
        <v>49</v>
      </c>
      <c r="C41" s="73" t="s">
        <v>91</v>
      </c>
      <c r="D41" s="59">
        <v>3</v>
      </c>
      <c r="E41" s="60" t="s">
        <v>12</v>
      </c>
      <c r="F41" s="196"/>
      <c r="G41" s="197"/>
      <c r="H41" s="197"/>
      <c r="I41" s="197"/>
      <c r="J41" s="198"/>
    </row>
    <row r="42" spans="2:14" s="46" customFormat="1" ht="15" customHeight="1">
      <c r="B42" s="43" t="s">
        <v>46</v>
      </c>
      <c r="C42" s="73" t="s">
        <v>88</v>
      </c>
      <c r="D42" s="59" t="e">
        <f>D35+#REF!</f>
        <v>#REF!</v>
      </c>
      <c r="E42" s="60" t="s">
        <v>12</v>
      </c>
      <c r="F42" s="196"/>
      <c r="G42" s="197"/>
      <c r="H42" s="197"/>
      <c r="I42" s="197"/>
      <c r="J42" s="198"/>
    </row>
    <row r="43" spans="2:14" s="46" customFormat="1" ht="15" customHeight="1">
      <c r="B43" s="68" t="s">
        <v>113</v>
      </c>
      <c r="C43" s="73" t="s">
        <v>80</v>
      </c>
      <c r="D43" s="77" t="e">
        <f>D36+D40</f>
        <v>#REF!</v>
      </c>
      <c r="E43" s="71" t="s">
        <v>73</v>
      </c>
      <c r="F43" s="199"/>
      <c r="G43" s="200"/>
      <c r="H43" s="200"/>
      <c r="I43" s="200"/>
      <c r="J43" s="201"/>
    </row>
    <row r="44" spans="2:14" ht="5.25" customHeight="1" thickBot="1">
      <c r="B44" s="19"/>
      <c r="C44" s="20"/>
      <c r="D44" s="21"/>
      <c r="E44" s="21"/>
      <c r="F44" s="6"/>
      <c r="G44" s="6"/>
      <c r="H44" s="6"/>
      <c r="I44" s="6"/>
      <c r="J44" s="11"/>
      <c r="L44" s="46"/>
      <c r="M44" s="46"/>
      <c r="N44" s="46"/>
    </row>
    <row r="45" spans="2:14" s="46" customFormat="1" ht="16.5" customHeight="1">
      <c r="B45" s="175" t="s">
        <v>29</v>
      </c>
      <c r="C45" s="44" t="s">
        <v>23</v>
      </c>
      <c r="D45" s="56" t="s">
        <v>76</v>
      </c>
      <c r="E45" s="44" t="s">
        <v>25</v>
      </c>
      <c r="F45" s="181"/>
      <c r="G45" s="181"/>
      <c r="H45" s="87" t="s">
        <v>122</v>
      </c>
      <c r="I45" s="240">
        <f>(20*52)/1000000</f>
        <v>1.0399999999999999E-3</v>
      </c>
      <c r="J45" s="241"/>
    </row>
    <row r="46" spans="2:14" s="46" customFormat="1" ht="18.75" customHeight="1">
      <c r="B46" s="176"/>
      <c r="C46" s="39" t="s">
        <v>24</v>
      </c>
      <c r="D46" s="69" t="s">
        <v>114</v>
      </c>
      <c r="E46" s="39" t="s">
        <v>26</v>
      </c>
      <c r="F46" s="177"/>
      <c r="G46" s="177"/>
      <c r="H46" s="88" t="s">
        <v>122</v>
      </c>
      <c r="I46" s="219">
        <f>20*20/1000000</f>
        <v>4.0000000000000002E-4</v>
      </c>
      <c r="J46" s="235"/>
      <c r="L46"/>
      <c r="M46"/>
      <c r="N46"/>
    </row>
    <row r="47" spans="2:14" s="46" customFormat="1" ht="19.5" customHeight="1">
      <c r="B47" s="176"/>
      <c r="C47" s="185" t="s">
        <v>170</v>
      </c>
      <c r="D47" s="107" t="s">
        <v>171</v>
      </c>
      <c r="E47" s="185" t="s">
        <v>14</v>
      </c>
      <c r="F47" s="177" t="s">
        <v>177</v>
      </c>
      <c r="G47" s="177"/>
      <c r="H47" s="106" t="s">
        <v>27</v>
      </c>
      <c r="I47" s="236" t="s">
        <v>178</v>
      </c>
      <c r="J47" s="237"/>
    </row>
    <row r="48" spans="2:14" ht="4.5" customHeight="1" thickBot="1">
      <c r="B48" s="34"/>
      <c r="C48" s="231"/>
      <c r="D48" s="40"/>
      <c r="E48" s="231"/>
      <c r="F48" s="26"/>
      <c r="G48" s="25"/>
      <c r="H48" s="10"/>
      <c r="I48" s="10"/>
      <c r="J48" s="27"/>
      <c r="L48" s="46"/>
      <c r="M48" s="46"/>
      <c r="N48" s="46"/>
    </row>
    <row r="49" spans="2:14" s="46" customFormat="1" ht="18" customHeight="1">
      <c r="B49" s="175" t="s">
        <v>28</v>
      </c>
      <c r="C49" s="39" t="s">
        <v>67</v>
      </c>
      <c r="D49" s="232" t="s">
        <v>174</v>
      </c>
      <c r="E49" s="232"/>
      <c r="F49" s="232"/>
      <c r="G49" s="44" t="s">
        <v>14</v>
      </c>
      <c r="H49" s="242"/>
      <c r="I49" s="242"/>
      <c r="J49" s="243"/>
    </row>
    <row r="50" spans="2:14" s="46" customFormat="1" ht="15" customHeight="1">
      <c r="B50" s="176"/>
      <c r="C50" s="39" t="s">
        <v>30</v>
      </c>
      <c r="D50" s="186"/>
      <c r="E50" s="186"/>
      <c r="F50" s="186"/>
      <c r="G50" s="186"/>
      <c r="H50" s="186"/>
      <c r="I50" s="186"/>
      <c r="J50" s="187"/>
      <c r="L50"/>
      <c r="M50"/>
      <c r="N50"/>
    </row>
    <row r="51" spans="2:14" s="46" customFormat="1" ht="15" customHeight="1">
      <c r="B51" s="176"/>
      <c r="C51" s="39" t="s">
        <v>57</v>
      </c>
      <c r="D51" s="188"/>
      <c r="E51" s="188"/>
      <c r="F51" s="188"/>
      <c r="G51" s="188"/>
      <c r="H51" s="188"/>
      <c r="I51" s="188"/>
      <c r="J51" s="189"/>
    </row>
    <row r="52" spans="2:14" ht="4.5" customHeight="1" thickBot="1">
      <c r="B52" s="34"/>
      <c r="C52" s="40"/>
      <c r="D52" s="41"/>
      <c r="E52" s="28"/>
      <c r="F52" s="28"/>
      <c r="G52" s="28"/>
      <c r="H52" s="28"/>
      <c r="I52" s="28"/>
      <c r="J52" s="29"/>
      <c r="L52" s="46"/>
      <c r="M52" s="46"/>
      <c r="N52" s="46"/>
    </row>
    <row r="53" spans="2:14" s="46" customFormat="1" ht="15.75" customHeight="1">
      <c r="B53" s="175" t="s">
        <v>31</v>
      </c>
      <c r="C53" s="39" t="s">
        <v>32</v>
      </c>
      <c r="D53" s="232" t="s">
        <v>175</v>
      </c>
      <c r="E53" s="232"/>
      <c r="F53" s="232"/>
      <c r="G53" s="104" t="s">
        <v>143</v>
      </c>
      <c r="H53" s="232">
        <v>150</v>
      </c>
      <c r="I53" s="232"/>
      <c r="J53" s="52" t="s">
        <v>33</v>
      </c>
    </row>
    <row r="54" spans="2:14" s="46" customFormat="1" ht="15.75" customHeight="1">
      <c r="B54" s="176"/>
      <c r="C54" s="185" t="s">
        <v>0</v>
      </c>
      <c r="D54" s="186"/>
      <c r="E54" s="186"/>
      <c r="F54" s="186"/>
      <c r="G54" s="186"/>
      <c r="H54" s="186"/>
      <c r="I54" s="186"/>
      <c r="J54" s="187"/>
      <c r="L54"/>
      <c r="M54"/>
      <c r="N54"/>
    </row>
    <row r="55" spans="2:14" ht="6" customHeight="1" thickBot="1">
      <c r="B55" s="33"/>
      <c r="C55" s="231"/>
      <c r="D55" s="40"/>
      <c r="E55" s="30"/>
      <c r="F55" s="30"/>
      <c r="G55" s="30"/>
      <c r="H55" s="30"/>
      <c r="I55" s="30"/>
      <c r="J55" s="31"/>
      <c r="L55" s="46"/>
      <c r="M55" s="46"/>
      <c r="N55" s="46"/>
    </row>
    <row r="56" spans="2:14" s="46" customFormat="1" ht="21.75" customHeight="1">
      <c r="B56" s="53" t="s">
        <v>64</v>
      </c>
      <c r="C56" s="230"/>
      <c r="D56" s="230"/>
      <c r="E56" s="67" t="s">
        <v>172</v>
      </c>
      <c r="F56" s="67"/>
      <c r="G56" s="230"/>
      <c r="H56" s="230"/>
      <c r="I56" s="230"/>
      <c r="J56" s="50"/>
    </row>
    <row r="57" spans="2:14" s="46" customFormat="1" ht="20.25" customHeight="1">
      <c r="B57" s="43" t="s">
        <v>65</v>
      </c>
      <c r="C57" s="229"/>
      <c r="D57" s="229"/>
      <c r="E57" s="106" t="s">
        <v>173</v>
      </c>
      <c r="F57" s="64"/>
      <c r="G57" s="229"/>
      <c r="H57" s="229"/>
      <c r="I57" s="229"/>
      <c r="J57" s="51"/>
      <c r="L57"/>
      <c r="M57"/>
      <c r="N57"/>
    </row>
    <row r="58" spans="2:14" s="46" customFormat="1" ht="20.25" customHeight="1">
      <c r="B58" s="43" t="s">
        <v>15</v>
      </c>
      <c r="C58" s="229"/>
      <c r="D58" s="229"/>
      <c r="E58" s="39"/>
      <c r="F58" s="39" t="s">
        <v>15</v>
      </c>
      <c r="G58" s="229"/>
      <c r="H58" s="229"/>
      <c r="I58" s="229"/>
      <c r="J58" s="51"/>
    </row>
    <row r="59" spans="2:14" ht="8.25" customHeight="1" thickBot="1">
      <c r="B59" s="32"/>
      <c r="C59" s="244"/>
      <c r="D59" s="244"/>
      <c r="E59" s="66"/>
      <c r="F59" s="66"/>
      <c r="G59" s="245"/>
      <c r="H59" s="245"/>
      <c r="I59" s="245"/>
      <c r="J59" s="246"/>
      <c r="L59" s="46"/>
      <c r="M59" s="46"/>
      <c r="N59" s="46"/>
    </row>
    <row r="60" spans="2:14" ht="15.75" customHeight="1">
      <c r="L60" s="46"/>
      <c r="M60" s="46"/>
      <c r="N60" s="46"/>
    </row>
    <row r="61" spans="2:14" ht="18" customHeight="1"/>
    <row r="64" spans="2:14" ht="31.5" customHeight="1">
      <c r="B64" s="137"/>
      <c r="C64" s="138"/>
      <c r="D64" s="138"/>
      <c r="E64" s="153" t="s">
        <v>144</v>
      </c>
      <c r="F64" s="138"/>
      <c r="G64" s="138"/>
      <c r="H64" s="138"/>
      <c r="I64" s="139"/>
    </row>
    <row r="65" spans="2:9" ht="25.5" customHeight="1">
      <c r="B65" s="91" t="s">
        <v>167</v>
      </c>
      <c r="C65" s="82"/>
      <c r="D65" s="108"/>
      <c r="E65" s="98"/>
      <c r="F65" s="102"/>
      <c r="G65" s="100" t="s">
        <v>146</v>
      </c>
      <c r="H65" s="112" t="s">
        <v>100</v>
      </c>
      <c r="I65" s="117"/>
    </row>
    <row r="66" spans="2:9" ht="25.5" customHeight="1">
      <c r="B66" s="118" t="s">
        <v>117</v>
      </c>
      <c r="C66" s="81" t="s">
        <v>95</v>
      </c>
      <c r="D66" s="114"/>
      <c r="E66" s="82" t="s">
        <v>116</v>
      </c>
      <c r="F66" s="105" t="s">
        <v>72</v>
      </c>
      <c r="G66" s="127" t="s">
        <v>74</v>
      </c>
      <c r="H66" s="128" t="s">
        <v>74</v>
      </c>
      <c r="I66" s="116"/>
    </row>
    <row r="67" spans="2:9">
      <c r="B67" s="118" t="s">
        <v>69</v>
      </c>
      <c r="C67" s="82" t="s">
        <v>96</v>
      </c>
      <c r="D67" s="125" t="s">
        <v>139</v>
      </c>
      <c r="E67" s="110"/>
      <c r="F67" s="70">
        <v>70</v>
      </c>
      <c r="G67" s="84" t="e">
        <f>IF(D67&gt;0,IF(G68=0,#REF!,#REF!*F67%),0)</f>
        <v>#REF!</v>
      </c>
      <c r="H67" s="90" t="e">
        <f>$H$9*G67/1000</f>
        <v>#REF!</v>
      </c>
      <c r="I67" s="119" t="s">
        <v>136</v>
      </c>
    </row>
    <row r="68" spans="2:9">
      <c r="B68" s="89"/>
      <c r="C68" s="82" t="s">
        <v>97</v>
      </c>
      <c r="D68" s="125" t="s">
        <v>137</v>
      </c>
      <c r="E68" s="110"/>
      <c r="F68" s="83">
        <f>100-F67</f>
        <v>30</v>
      </c>
      <c r="G68" s="84" t="e">
        <f>IF(D68&gt;0,#REF!*F68%,0)</f>
        <v>#REF!</v>
      </c>
      <c r="H68" s="90" t="e">
        <f t="shared" ref="H68:H86" si="0">$H$9*G68/1000</f>
        <v>#REF!</v>
      </c>
      <c r="I68" s="119" t="s">
        <v>136</v>
      </c>
    </row>
    <row r="69" spans="2:9">
      <c r="B69" s="89"/>
      <c r="C69" s="82" t="s">
        <v>98</v>
      </c>
      <c r="D69" s="125" t="s">
        <v>134</v>
      </c>
      <c r="E69" s="110"/>
      <c r="F69" s="70">
        <v>5</v>
      </c>
      <c r="G69" s="84" t="e">
        <f>IF(D69&gt;0,#REF!,0)</f>
        <v>#REF!</v>
      </c>
      <c r="H69" s="90" t="e">
        <f t="shared" si="0"/>
        <v>#REF!</v>
      </c>
      <c r="I69" s="119" t="s">
        <v>136</v>
      </c>
    </row>
    <row r="70" spans="2:9">
      <c r="B70" s="118"/>
      <c r="C70" s="82" t="s">
        <v>141</v>
      </c>
      <c r="D70" s="125" t="s">
        <v>141</v>
      </c>
      <c r="E70" s="110"/>
      <c r="F70" s="70">
        <v>0.5</v>
      </c>
      <c r="G70" s="84" t="e">
        <f>IF(D70&gt;0,IF(D70&gt;0,#REF!,0),0)</f>
        <v>#REF!</v>
      </c>
      <c r="H70" s="90" t="e">
        <f t="shared" si="0"/>
        <v>#REF!</v>
      </c>
      <c r="I70" s="119" t="s">
        <v>136</v>
      </c>
    </row>
    <row r="71" spans="2:9">
      <c r="B71" s="118" t="s">
        <v>71</v>
      </c>
      <c r="C71" s="82" t="s">
        <v>96</v>
      </c>
      <c r="D71" s="125" t="s">
        <v>137</v>
      </c>
      <c r="E71" s="110"/>
      <c r="F71" s="70">
        <v>100</v>
      </c>
      <c r="G71" s="84" t="e">
        <f>IF(D71&gt;0,IF(G72=0,#REF!,#REF!*F71%),0)</f>
        <v>#REF!</v>
      </c>
      <c r="H71" s="90" t="e">
        <f t="shared" si="0"/>
        <v>#REF!</v>
      </c>
      <c r="I71" s="119" t="s">
        <v>136</v>
      </c>
    </row>
    <row r="72" spans="2:9">
      <c r="B72" s="118"/>
      <c r="C72" s="82" t="s">
        <v>97</v>
      </c>
      <c r="D72" s="125"/>
      <c r="E72" s="110"/>
      <c r="F72" s="83">
        <f>100-F71</f>
        <v>0</v>
      </c>
      <c r="G72" s="84">
        <f>IF(D72&gt;0,#REF!*F72%,0)</f>
        <v>0</v>
      </c>
      <c r="H72" s="90">
        <f t="shared" si="0"/>
        <v>0</v>
      </c>
      <c r="I72" s="119" t="s">
        <v>136</v>
      </c>
    </row>
    <row r="73" spans="2:9">
      <c r="B73" s="118"/>
      <c r="C73" s="82" t="s">
        <v>141</v>
      </c>
      <c r="D73" s="156" t="s">
        <v>141</v>
      </c>
      <c r="E73" s="150"/>
      <c r="F73" s="70">
        <v>0.5</v>
      </c>
      <c r="G73" s="84" t="e">
        <f>IF(D73&gt;0,#REF!,0)</f>
        <v>#REF!</v>
      </c>
      <c r="H73" s="90" t="e">
        <f t="shared" si="0"/>
        <v>#REF!</v>
      </c>
      <c r="I73" s="119" t="s">
        <v>136</v>
      </c>
    </row>
    <row r="74" spans="2:9">
      <c r="B74" s="118" t="s">
        <v>70</v>
      </c>
      <c r="C74" s="82" t="s">
        <v>96</v>
      </c>
      <c r="D74" s="125" t="s">
        <v>137</v>
      </c>
      <c r="E74" s="110"/>
      <c r="F74" s="70">
        <v>100</v>
      </c>
      <c r="G74" s="84" t="e">
        <f>IF(D74&gt;0,IF(G75=0,#REF!,#REF!*F74%)*2,0)</f>
        <v>#REF!</v>
      </c>
      <c r="H74" s="90" t="e">
        <f t="shared" si="0"/>
        <v>#REF!</v>
      </c>
      <c r="I74" s="119" t="s">
        <v>136</v>
      </c>
    </row>
    <row r="75" spans="2:9">
      <c r="B75" s="118"/>
      <c r="C75" s="82" t="s">
        <v>97</v>
      </c>
      <c r="D75" s="125"/>
      <c r="E75" s="110"/>
      <c r="F75" s="83">
        <f>100-F74</f>
        <v>0</v>
      </c>
      <c r="G75" s="84">
        <f>IF(D75&gt;0,#REF!*2*F75%,0)</f>
        <v>0</v>
      </c>
      <c r="H75" s="90">
        <f t="shared" si="0"/>
        <v>0</v>
      </c>
      <c r="I75" s="119" t="s">
        <v>136</v>
      </c>
    </row>
    <row r="76" spans="2:9">
      <c r="B76" s="118"/>
      <c r="C76" s="82" t="s">
        <v>141</v>
      </c>
      <c r="D76" s="156" t="s">
        <v>141</v>
      </c>
      <c r="E76" s="150"/>
      <c r="F76" s="86">
        <v>0.5</v>
      </c>
      <c r="G76" s="84" t="e">
        <f>IF(D76&gt;0,#REF!,0)</f>
        <v>#REF!</v>
      </c>
      <c r="H76" s="90" t="e">
        <f t="shared" si="0"/>
        <v>#REF!</v>
      </c>
      <c r="I76" s="119" t="s">
        <v>136</v>
      </c>
    </row>
    <row r="77" spans="2:9">
      <c r="B77" s="118" t="s">
        <v>68</v>
      </c>
      <c r="C77" s="82" t="s">
        <v>96</v>
      </c>
      <c r="D77" s="125" t="s">
        <v>138</v>
      </c>
      <c r="E77" s="110"/>
      <c r="F77" s="70">
        <v>100</v>
      </c>
      <c r="G77" s="84" t="e">
        <f>IF(D77&gt;0,IF(H9=0,#REF!,#REF!*F77%),0)</f>
        <v>#REF!</v>
      </c>
      <c r="H77" s="90" t="e">
        <f t="shared" si="0"/>
        <v>#REF!</v>
      </c>
      <c r="I77" s="119" t="s">
        <v>136</v>
      </c>
    </row>
    <row r="78" spans="2:9">
      <c r="B78" s="118"/>
      <c r="C78" s="82" t="s">
        <v>97</v>
      </c>
      <c r="D78" s="125"/>
      <c r="E78" s="110"/>
      <c r="F78" s="83">
        <f>100-F77</f>
        <v>0</v>
      </c>
      <c r="G78" s="84">
        <f>IF(D78&gt;0,#REF!*F78%,0)</f>
        <v>0</v>
      </c>
      <c r="H78" s="90">
        <f t="shared" si="0"/>
        <v>0</v>
      </c>
      <c r="I78" s="119" t="s">
        <v>136</v>
      </c>
    </row>
    <row r="79" spans="2:9">
      <c r="B79" s="118"/>
      <c r="C79" s="82" t="s">
        <v>99</v>
      </c>
      <c r="D79" s="156" t="s">
        <v>145</v>
      </c>
      <c r="E79" s="150"/>
      <c r="F79" s="70">
        <v>2</v>
      </c>
      <c r="G79" s="84" t="e">
        <f>IF(D79&gt;0,#REF!,0)</f>
        <v>#REF!</v>
      </c>
      <c r="H79" s="90" t="e">
        <f t="shared" si="0"/>
        <v>#REF!</v>
      </c>
      <c r="I79" s="119" t="s">
        <v>136</v>
      </c>
    </row>
    <row r="80" spans="2:9">
      <c r="B80" s="118"/>
      <c r="C80" s="82" t="s">
        <v>141</v>
      </c>
      <c r="D80" s="156" t="s">
        <v>141</v>
      </c>
      <c r="E80" s="150"/>
      <c r="F80" s="86">
        <v>0.5</v>
      </c>
      <c r="G80" s="84" t="e">
        <f>IF(D80&gt;0,#REF!,0)</f>
        <v>#REF!</v>
      </c>
      <c r="H80" s="90" t="e">
        <f t="shared" si="0"/>
        <v>#REF!</v>
      </c>
      <c r="I80" s="119" t="s">
        <v>136</v>
      </c>
    </row>
    <row r="81" spans="2:9" ht="15" thickBot="1">
      <c r="B81" s="120"/>
      <c r="C81" s="98"/>
      <c r="D81" s="99"/>
      <c r="E81" s="99"/>
      <c r="F81" s="99"/>
      <c r="G81" s="100"/>
      <c r="H81" s="101"/>
      <c r="I81" s="117"/>
    </row>
    <row r="82" spans="2:9" ht="25.5" customHeight="1">
      <c r="B82" s="148" t="s">
        <v>168</v>
      </c>
      <c r="C82" s="149"/>
      <c r="D82" s="93"/>
      <c r="E82" s="92" t="s">
        <v>116</v>
      </c>
      <c r="F82" s="94"/>
      <c r="G82" s="95" t="s">
        <v>179</v>
      </c>
      <c r="H82" s="96" t="s">
        <v>149</v>
      </c>
      <c r="I82" s="121"/>
    </row>
    <row r="83" spans="2:9">
      <c r="B83" s="147" t="s">
        <v>123</v>
      </c>
      <c r="C83" s="82" t="s">
        <v>96</v>
      </c>
      <c r="D83" s="125" t="s">
        <v>139</v>
      </c>
      <c r="E83" s="110"/>
      <c r="F83" s="97">
        <v>50</v>
      </c>
      <c r="G83" s="84" t="e">
        <f>IF(D83&gt;0,IF(G84=0,D34*1000*F83%,D34*1000-G84),0)</f>
        <v>#REF!</v>
      </c>
      <c r="H83" s="90" t="e">
        <f t="shared" ref="H83:H84" si="1">$H$9*G83/1000</f>
        <v>#REF!</v>
      </c>
      <c r="I83" s="119" t="s">
        <v>136</v>
      </c>
    </row>
    <row r="84" spans="2:9">
      <c r="B84" s="118"/>
      <c r="C84" s="82" t="s">
        <v>97</v>
      </c>
      <c r="D84" s="125" t="s">
        <v>140</v>
      </c>
      <c r="E84" s="110"/>
      <c r="F84" s="83">
        <f>100-F83</f>
        <v>50</v>
      </c>
      <c r="G84" s="84" t="e">
        <f>IF(D84&gt;0,IF(D84&gt;0,D34*1000*F84%,0),0)</f>
        <v>#REF!</v>
      </c>
      <c r="H84" s="90" t="e">
        <f t="shared" si="1"/>
        <v>#REF!</v>
      </c>
      <c r="I84" s="119" t="s">
        <v>136</v>
      </c>
    </row>
    <row r="85" spans="2:9">
      <c r="B85" s="118"/>
      <c r="C85" s="82" t="s">
        <v>98</v>
      </c>
      <c r="D85" s="125" t="s">
        <v>145</v>
      </c>
      <c r="E85" s="150"/>
      <c r="F85" s="70">
        <v>5</v>
      </c>
      <c r="G85" s="84" t="e">
        <f>IF(D85&gt;0,(G83+G84)*F85%,0)</f>
        <v>#REF!</v>
      </c>
      <c r="H85" s="90" t="e">
        <f t="shared" si="0"/>
        <v>#REF!</v>
      </c>
      <c r="I85" s="119" t="s">
        <v>136</v>
      </c>
    </row>
    <row r="86" spans="2:9">
      <c r="B86" s="118"/>
      <c r="C86" s="82" t="s">
        <v>141</v>
      </c>
      <c r="D86" s="125" t="s">
        <v>141</v>
      </c>
      <c r="E86" s="150"/>
      <c r="F86" s="70">
        <v>0.5</v>
      </c>
      <c r="G86" s="84" t="e">
        <f>IF(D86&gt;0,(G83+G84)*F86%,0)</f>
        <v>#REF!</v>
      </c>
      <c r="H86" s="90" t="e">
        <f t="shared" si="0"/>
        <v>#REF!</v>
      </c>
      <c r="I86" s="119" t="s">
        <v>136</v>
      </c>
    </row>
    <row r="87" spans="2:9">
      <c r="B87" s="120"/>
      <c r="C87" s="100"/>
      <c r="D87" s="100"/>
      <c r="E87" s="100"/>
      <c r="F87" s="102"/>
      <c r="G87" s="103"/>
      <c r="H87" s="101"/>
      <c r="I87" s="117"/>
    </row>
    <row r="88" spans="2:9" ht="25.5" customHeight="1">
      <c r="B88" s="118" t="s">
        <v>169</v>
      </c>
      <c r="C88" s="82" t="s">
        <v>121</v>
      </c>
      <c r="D88" s="105"/>
      <c r="E88" s="130" t="s">
        <v>124</v>
      </c>
      <c r="F88" s="105" t="s">
        <v>120</v>
      </c>
      <c r="G88" s="115" t="s">
        <v>179</v>
      </c>
      <c r="H88" s="129" t="s">
        <v>149</v>
      </c>
      <c r="I88" s="116"/>
    </row>
    <row r="89" spans="2:9">
      <c r="B89" s="91"/>
      <c r="C89" s="82" t="s">
        <v>101</v>
      </c>
      <c r="D89" s="154" t="s">
        <v>125</v>
      </c>
      <c r="E89" s="150"/>
      <c r="F89" s="70">
        <v>50</v>
      </c>
      <c r="G89" s="84" t="e">
        <f>IF(D89&gt;0,1.5*#REF!*1000*F89%,"-")</f>
        <v>#REF!</v>
      </c>
      <c r="H89" s="90" t="e">
        <f>IF(D89&gt;0,$H$9*G89/1000,"-")</f>
        <v>#REF!</v>
      </c>
      <c r="I89" s="119" t="s">
        <v>136</v>
      </c>
    </row>
    <row r="90" spans="2:9">
      <c r="B90" s="91"/>
      <c r="C90" s="82" t="s">
        <v>102</v>
      </c>
      <c r="D90" s="154" t="s">
        <v>126</v>
      </c>
      <c r="E90" s="150"/>
      <c r="F90" s="70">
        <v>10</v>
      </c>
      <c r="G90" s="84" t="e">
        <f>IF(D90&gt;0,1.5*#REF!*1000*F90%,"-")</f>
        <v>#REF!</v>
      </c>
      <c r="H90" s="90" t="e">
        <f t="shared" ref="H90:H98" si="2">IF(D90&gt;0,$H$9*G90/1000,"-")</f>
        <v>#REF!</v>
      </c>
      <c r="I90" s="119" t="s">
        <v>136</v>
      </c>
    </row>
    <row r="91" spans="2:9">
      <c r="B91" s="91"/>
      <c r="C91" s="82" t="s">
        <v>103</v>
      </c>
      <c r="D91" s="154" t="s">
        <v>127</v>
      </c>
      <c r="E91" s="150"/>
      <c r="F91" s="70">
        <v>25</v>
      </c>
      <c r="G91" s="84" t="e">
        <f>IF(D91&gt;0,1.5*#REF!*1000*F91%,"-")</f>
        <v>#REF!</v>
      </c>
      <c r="H91" s="90" t="e">
        <f t="shared" si="2"/>
        <v>#REF!</v>
      </c>
      <c r="I91" s="119" t="s">
        <v>136</v>
      </c>
    </row>
    <row r="92" spans="2:9">
      <c r="B92" s="91"/>
      <c r="C92" s="82" t="s">
        <v>104</v>
      </c>
      <c r="D92" s="154" t="s">
        <v>176</v>
      </c>
      <c r="E92" s="150"/>
      <c r="F92" s="70">
        <v>5</v>
      </c>
      <c r="G92" s="84" t="e">
        <f>IF(D92&gt;0,1.5*#REF!*1000*F92%,"-")</f>
        <v>#REF!</v>
      </c>
      <c r="H92" s="90" t="e">
        <f t="shared" si="2"/>
        <v>#REF!</v>
      </c>
      <c r="I92" s="119" t="s">
        <v>136</v>
      </c>
    </row>
    <row r="93" spans="2:9">
      <c r="B93" s="91"/>
      <c r="C93" s="82" t="s">
        <v>105</v>
      </c>
      <c r="D93" s="154"/>
      <c r="E93" s="150"/>
      <c r="F93" s="70"/>
      <c r="G93" s="84" t="str">
        <f>IF(D93&gt;0,1.5*#REF!*1000*F93%,"-")</f>
        <v>-</v>
      </c>
      <c r="H93" s="90" t="str">
        <f t="shared" si="2"/>
        <v>-</v>
      </c>
      <c r="I93" s="119" t="s">
        <v>136</v>
      </c>
    </row>
    <row r="94" spans="2:9">
      <c r="B94" s="91"/>
      <c r="C94" s="82" t="s">
        <v>106</v>
      </c>
      <c r="D94" s="154"/>
      <c r="E94" s="150"/>
      <c r="F94" s="70"/>
      <c r="G94" s="84" t="str">
        <f>IF(D94&gt;0,1.5*#REF!*1000*F94%,"-")</f>
        <v>-</v>
      </c>
      <c r="H94" s="90" t="str">
        <f t="shared" si="2"/>
        <v>-</v>
      </c>
      <c r="I94" s="119" t="s">
        <v>136</v>
      </c>
    </row>
    <row r="95" spans="2:9">
      <c r="B95" s="91"/>
      <c r="C95" s="82" t="s">
        <v>107</v>
      </c>
      <c r="D95" s="154"/>
      <c r="E95" s="150"/>
      <c r="F95" s="70"/>
      <c r="G95" s="84" t="str">
        <f>IF(D95&gt;0,1.5*#REF!*1000*F95%,"-")</f>
        <v>-</v>
      </c>
      <c r="H95" s="90" t="str">
        <f t="shared" si="2"/>
        <v>-</v>
      </c>
      <c r="I95" s="119" t="s">
        <v>136</v>
      </c>
    </row>
    <row r="96" spans="2:9">
      <c r="B96" s="91"/>
      <c r="C96" s="82" t="s">
        <v>108</v>
      </c>
      <c r="D96" s="154"/>
      <c r="E96" s="150"/>
      <c r="F96" s="70"/>
      <c r="G96" s="84" t="str">
        <f>IF(D96&gt;0,1.5*#REF!*1000*F96%,"-")</f>
        <v>-</v>
      </c>
      <c r="H96" s="90" t="str">
        <f t="shared" si="2"/>
        <v>-</v>
      </c>
      <c r="I96" s="119" t="s">
        <v>136</v>
      </c>
    </row>
    <row r="97" spans="2:9">
      <c r="B97" s="91"/>
      <c r="C97" s="82" t="s">
        <v>109</v>
      </c>
      <c r="D97" s="154"/>
      <c r="E97" s="150"/>
      <c r="F97" s="70"/>
      <c r="G97" s="84" t="str">
        <f>IF(D97&gt;0,1.5*#REF!*1000*F97%,"-")</f>
        <v>-</v>
      </c>
      <c r="H97" s="90" t="str">
        <f t="shared" si="2"/>
        <v>-</v>
      </c>
      <c r="I97" s="119" t="s">
        <v>136</v>
      </c>
    </row>
    <row r="98" spans="2:9">
      <c r="B98" s="91"/>
      <c r="C98" s="82" t="s">
        <v>110</v>
      </c>
      <c r="D98" s="154"/>
      <c r="E98" s="150"/>
      <c r="F98" s="70"/>
      <c r="G98" s="84" t="str">
        <f>IF(D98&gt;0,1.5*#REF!*1000*F98%,"-")</f>
        <v>-</v>
      </c>
      <c r="H98" s="90" t="str">
        <f t="shared" si="2"/>
        <v>-</v>
      </c>
      <c r="I98" s="119" t="s">
        <v>136</v>
      </c>
    </row>
    <row r="99" spans="2:9">
      <c r="B99" s="91"/>
      <c r="C99" s="82" t="s">
        <v>118</v>
      </c>
      <c r="D99" s="125"/>
      <c r="E99" s="150"/>
      <c r="F99" s="70">
        <v>50</v>
      </c>
      <c r="G99" s="84" t="str">
        <f>IF(D99&gt;0,IF(G100=0,#REF!*1000*4*F99%,#REF!*4*1000-G100),"-")</f>
        <v>-</v>
      </c>
      <c r="H99" s="90" t="str">
        <f>IF(D99&gt;0,$H$9*G99/1000,"-")</f>
        <v>-</v>
      </c>
      <c r="I99" s="119" t="s">
        <v>136</v>
      </c>
    </row>
    <row r="100" spans="2:9" ht="15" thickBot="1">
      <c r="B100" s="91"/>
      <c r="C100" s="82" t="s">
        <v>119</v>
      </c>
      <c r="D100" s="126" t="s">
        <v>142</v>
      </c>
      <c r="E100" s="155"/>
      <c r="F100" s="83">
        <f>IF(D100&gt;0,100-F99,"-")</f>
        <v>50</v>
      </c>
      <c r="G100" s="84" t="e">
        <f>IF(D100&gt;0,#REF!*4*1000*F100%,0)</f>
        <v>#REF!</v>
      </c>
      <c r="H100" s="90" t="e">
        <f>IF(D100&gt;0,$H$9*G100/1000,"-")</f>
        <v>#REF!</v>
      </c>
      <c r="I100" s="119" t="s">
        <v>136</v>
      </c>
    </row>
    <row r="101" spans="2:9" ht="25.5" customHeight="1">
      <c r="B101" s="148" t="s">
        <v>180</v>
      </c>
      <c r="C101" s="149"/>
      <c r="D101" s="108"/>
      <c r="E101" s="98" t="s">
        <v>116</v>
      </c>
      <c r="F101" s="94"/>
      <c r="G101" s="95" t="s">
        <v>146</v>
      </c>
      <c r="H101" s="113" t="s">
        <v>100</v>
      </c>
      <c r="I101" s="121"/>
    </row>
    <row r="102" spans="2:9">
      <c r="B102" s="118"/>
      <c r="C102" s="81"/>
      <c r="D102" s="81"/>
      <c r="E102" s="82" t="s">
        <v>166</v>
      </c>
      <c r="F102" s="130" t="s">
        <v>159</v>
      </c>
      <c r="G102" s="81"/>
      <c r="H102" s="91"/>
      <c r="I102" s="119"/>
    </row>
    <row r="103" spans="2:9">
      <c r="B103" s="118" t="s">
        <v>181</v>
      </c>
      <c r="C103" s="82" t="s">
        <v>161</v>
      </c>
      <c r="D103" s="109" t="str">
        <f>D45</f>
        <v>Royal Blue</v>
      </c>
      <c r="E103" s="150"/>
      <c r="F103" s="152">
        <f>I45</f>
        <v>1.0399999999999999E-3</v>
      </c>
      <c r="G103" s="84">
        <f>IF(D103&lt;=0,"-",F103*1000)</f>
        <v>1.0399999999999998</v>
      </c>
      <c r="H103" s="90">
        <f>IF(D103&lt;=0,"-",$H$9*G103/1000)</f>
        <v>1.0399999999999998</v>
      </c>
      <c r="I103" s="119" t="s">
        <v>135</v>
      </c>
    </row>
    <row r="104" spans="2:9">
      <c r="B104" s="89"/>
      <c r="C104" s="82" t="s">
        <v>162</v>
      </c>
      <c r="D104" s="109" t="str">
        <f>D46</f>
        <v>Silver</v>
      </c>
      <c r="E104" s="150"/>
      <c r="F104" s="152">
        <f>I46</f>
        <v>4.0000000000000002E-4</v>
      </c>
      <c r="G104" s="84">
        <f>IF(D104&lt;=0,"-",F104*1000)</f>
        <v>0.4</v>
      </c>
      <c r="H104" s="90">
        <f>IF(D104&lt;=0,"-",($H$9*G104/1000))</f>
        <v>0.4</v>
      </c>
      <c r="I104" s="119" t="s">
        <v>135</v>
      </c>
    </row>
    <row r="105" spans="2:9">
      <c r="B105" s="118"/>
      <c r="C105" s="82" t="s">
        <v>163</v>
      </c>
      <c r="D105" s="109" t="str">
        <f>D47</f>
        <v>Screw on 70123</v>
      </c>
      <c r="E105" s="150"/>
      <c r="F105" s="151">
        <f>IF(D105&gt;0,($H$9),"")</f>
        <v>1000</v>
      </c>
      <c r="G105" s="84">
        <f>IF(D105&lt;=0,"-",1000)</f>
        <v>1000</v>
      </c>
      <c r="H105" s="90">
        <f>F105</f>
        <v>1000</v>
      </c>
      <c r="I105" s="119" t="s">
        <v>135</v>
      </c>
    </row>
    <row r="106" spans="2:9">
      <c r="B106" s="118"/>
      <c r="C106" s="82" t="s">
        <v>164</v>
      </c>
      <c r="D106" s="109" t="str">
        <f>D49</f>
        <v>SSK 123456</v>
      </c>
      <c r="E106" s="150"/>
      <c r="F106" s="151">
        <f>IF(D106&gt;0,($H$9),"-")</f>
        <v>1000</v>
      </c>
      <c r="G106" s="84">
        <f>IF(D106&lt;=0,"-",1000)</f>
        <v>1000</v>
      </c>
      <c r="H106" s="90">
        <f>F106</f>
        <v>1000</v>
      </c>
      <c r="I106" s="119" t="s">
        <v>135</v>
      </c>
    </row>
    <row r="107" spans="2:9">
      <c r="B107" s="118"/>
      <c r="C107" s="82" t="s">
        <v>165</v>
      </c>
      <c r="D107" s="109" t="str">
        <f>D53</f>
        <v>LS 534x230x110</v>
      </c>
      <c r="E107" s="116"/>
      <c r="F107" s="151">
        <f>IF(D107&gt;0,$H$9/$H$53,"")</f>
        <v>6.666666666666667</v>
      </c>
      <c r="G107" s="157">
        <f>IF(D107&gt;0,1000/$H$53,"-")</f>
        <v>6.666666666666667</v>
      </c>
      <c r="H107" s="90">
        <f>F107</f>
        <v>6.666666666666667</v>
      </c>
      <c r="I107" s="119" t="s">
        <v>160</v>
      </c>
    </row>
    <row r="108" spans="2:9" ht="22.5" customHeight="1">
      <c r="B108" s="120"/>
      <c r="C108" s="98"/>
      <c r="D108" s="115"/>
      <c r="E108" s="115"/>
      <c r="F108" s="141"/>
      <c r="G108" s="142"/>
      <c r="H108" s="143"/>
      <c r="I108" s="117"/>
    </row>
    <row r="109" spans="2:9" ht="39.950000000000003" customHeight="1">
      <c r="B109" s="136" t="s">
        <v>152</v>
      </c>
      <c r="C109" s="258"/>
      <c r="D109" s="258"/>
      <c r="E109" s="258"/>
      <c r="F109" s="132" t="s">
        <v>153</v>
      </c>
      <c r="G109" s="100"/>
      <c r="H109" s="100"/>
      <c r="I109" s="117"/>
    </row>
    <row r="110" spans="2:9">
      <c r="B110" s="123" t="s">
        <v>155</v>
      </c>
      <c r="C110" s="81"/>
      <c r="D110" s="81"/>
      <c r="E110" s="81"/>
      <c r="F110" s="131" t="s">
        <v>156</v>
      </c>
      <c r="G110" s="81"/>
      <c r="H110" s="81"/>
      <c r="I110" s="119"/>
    </row>
    <row r="111" spans="2:9" ht="39.950000000000003" customHeight="1">
      <c r="B111" s="136" t="s">
        <v>154</v>
      </c>
      <c r="C111" s="258"/>
      <c r="D111" s="258"/>
      <c r="E111" s="258"/>
      <c r="F111" s="132" t="s">
        <v>153</v>
      </c>
      <c r="G111" s="100"/>
      <c r="H111" s="100"/>
      <c r="I111" s="117"/>
    </row>
    <row r="112" spans="2:9">
      <c r="B112" s="123" t="s">
        <v>157</v>
      </c>
      <c r="C112" s="81"/>
      <c r="D112" s="81"/>
      <c r="E112" s="81"/>
      <c r="F112" s="131" t="s">
        <v>158</v>
      </c>
      <c r="G112" s="81"/>
      <c r="H112" s="81"/>
      <c r="I112" s="119"/>
    </row>
    <row r="113" spans="2:9" ht="15" customHeight="1">
      <c r="B113" s="112"/>
      <c r="C113" s="100"/>
      <c r="D113" s="100"/>
      <c r="E113" s="100"/>
      <c r="F113" s="100"/>
      <c r="G113" s="100"/>
      <c r="H113" s="100"/>
      <c r="I113" s="117"/>
    </row>
    <row r="114" spans="2:9" ht="19.5" customHeight="1">
      <c r="B114" s="144"/>
      <c r="C114" s="145"/>
      <c r="D114" s="145"/>
      <c r="E114" s="145"/>
      <c r="F114" s="145"/>
      <c r="G114" s="145"/>
      <c r="H114" s="145"/>
      <c r="I114" s="146"/>
    </row>
    <row r="115" spans="2:9" ht="36" customHeight="1" thickBot="1">
      <c r="B115" s="140" t="s">
        <v>147</v>
      </c>
      <c r="C115" s="134"/>
      <c r="D115" s="134"/>
      <c r="E115" s="134"/>
      <c r="F115" s="134"/>
      <c r="G115" s="134"/>
      <c r="H115" s="134"/>
      <c r="I115" s="135"/>
    </row>
    <row r="116" spans="2:9" ht="33" customHeight="1">
      <c r="B116" s="255" t="s">
        <v>7</v>
      </c>
      <c r="C116" s="257"/>
      <c r="D116" s="124" t="s">
        <v>150</v>
      </c>
      <c r="E116" s="124" t="s">
        <v>151</v>
      </c>
      <c r="F116" s="255" t="s">
        <v>148</v>
      </c>
      <c r="G116" s="256"/>
      <c r="H116" s="256"/>
      <c r="I116" s="257"/>
    </row>
    <row r="117" spans="2:9" ht="16.5" customHeight="1">
      <c r="B117" s="162" t="s">
        <v>182</v>
      </c>
      <c r="C117" s="159"/>
      <c r="D117" s="160"/>
      <c r="E117" s="160"/>
      <c r="F117" s="158"/>
      <c r="G117" s="159"/>
      <c r="H117" s="159"/>
      <c r="I117" s="161"/>
    </row>
    <row r="118" spans="2:9">
      <c r="B118" s="122" t="str">
        <f t="array" ref="B118">IFERROR(INDEX($D$67:$D$107,SMALL(IF(FREQUENCY(IF($D$67:$D$107&lt;&gt;"",MATCH("~"&amp;$D$67:$D$107,$D$67:$D$107&amp;"",0)),ROW($D$67:$D$107)-ROW($D$67)+1),ROW($D$67:$D$107)-ROW($D$67)+1),ROWS(B$118:B118))),"")</f>
        <v xml:space="preserve">HDPE G-2855  </v>
      </c>
      <c r="C118" s="81"/>
      <c r="D118" s="111" t="e">
        <f t="shared" ref="D118:D130" si="3">IF(SUMIF($D$67:$D$108,$B118,$G$67:$G$108)=0,"",SUMIF($D$67:$D$108,$B118,$G$67:$G$108))</f>
        <v>#REF!</v>
      </c>
      <c r="E118" s="111" t="e">
        <f t="shared" ref="E118:E130" si="4">IF(D118="","",SUMIF($D$67:$D$108,$B118,$H$67:$H$108))</f>
        <v>#REF!</v>
      </c>
      <c r="F118" s="133"/>
      <c r="G118" s="81"/>
      <c r="H118" s="81"/>
      <c r="I118" s="119"/>
    </row>
    <row r="119" spans="2:9">
      <c r="B119" s="122" t="str">
        <f t="array" ref="B119">IFERROR(INDEX($D$67:$D$107,SMALL(IF(FREQUENCY(IF($D$67:$D$107&lt;&gt;"",MATCH("~"&amp;$D$67:$D$107,$D$67:$D$107&amp;"",0)),ROW($D$67:$D$107)-ROW($D$67)+1),ROW($D$67:$D$107)-ROW($D$67)+1),ROWS(B$118:B119))),"")</f>
        <v xml:space="preserve">LLDPE L-1211  </v>
      </c>
      <c r="C119" s="81"/>
      <c r="D119" s="111" t="e">
        <f t="shared" si="3"/>
        <v>#REF!</v>
      </c>
      <c r="E119" s="111" t="e">
        <f t="shared" si="4"/>
        <v>#REF!</v>
      </c>
      <c r="F119" s="122"/>
      <c r="G119" s="81"/>
      <c r="H119" s="81"/>
      <c r="I119" s="119"/>
    </row>
    <row r="120" spans="2:9">
      <c r="B120" s="122" t="str">
        <f t="array" ref="B120">IFERROR(INDEX($D$67:$D$107,SMALL(IF(FREQUENCY(IF($D$67:$D$107&lt;&gt;"",MATCH("~"&amp;$D$67:$D$107,$D$67:$D$107&amp;"",0)),ROW($D$67:$D$107)-ROW($D$67)+1),ROW($D$67:$D$107)-ROW($D$67)+1),ROWS(B$118:B120))),"")</f>
        <v>MB TET 1KE721 PAL (Toyo ink)</v>
      </c>
      <c r="C120" s="81"/>
      <c r="D120" s="111" t="e">
        <f t="shared" si="3"/>
        <v>#REF!</v>
      </c>
      <c r="E120" s="111" t="e">
        <f t="shared" si="4"/>
        <v>#REF!</v>
      </c>
      <c r="F120" s="122"/>
      <c r="G120" s="81"/>
      <c r="H120" s="81"/>
      <c r="I120" s="119"/>
    </row>
    <row r="121" spans="2:9">
      <c r="B121" s="122" t="str">
        <f t="array" ref="B121">IFERROR(INDEX($D$67:$D$107,SMALL(IF(FREQUENCY(IF($D$67:$D$107&lt;&gt;"",MATCH("~"&amp;$D$67:$D$107,$D$67:$D$107&amp;"",0)),ROW($D$67:$D$107)-ROW($D$67)+1),ROW($D$67:$D$107)-ROW($D$67)+1),ROWS(B$118:B121))),"")</f>
        <v>PPA</v>
      </c>
      <c r="C121" s="81"/>
      <c r="D121" s="111" t="e">
        <f t="shared" si="3"/>
        <v>#REF!</v>
      </c>
      <c r="E121" s="111" t="e">
        <f t="shared" si="4"/>
        <v>#REF!</v>
      </c>
      <c r="F121" s="122"/>
      <c r="G121" s="81"/>
      <c r="H121" s="81"/>
      <c r="I121" s="119"/>
    </row>
    <row r="122" spans="2:9">
      <c r="B122" s="122" t="str">
        <f t="array" ref="B122">IFERROR(INDEX($D$67:$D$107,SMALL(IF(FREQUENCY(IF($D$67:$D$107&lt;&gt;"",MATCH("~"&amp;$D$67:$D$107,$D$67:$D$107&amp;"",0)),ROW($D$67:$D$107)-ROW($D$67)+1),ROW($D$67:$D$107)-ROW($D$67)+1),ROWS(B$118:B122))),"")</f>
        <v xml:space="preserve">LDPE POLENE D 2022  </v>
      </c>
      <c r="C122" s="81"/>
      <c r="D122" s="111" t="e">
        <f t="shared" si="3"/>
        <v>#REF!</v>
      </c>
      <c r="E122" s="111" t="e">
        <f t="shared" si="4"/>
        <v>#REF!</v>
      </c>
      <c r="F122" s="122"/>
      <c r="G122" s="81"/>
      <c r="H122" s="81"/>
      <c r="I122" s="119"/>
    </row>
    <row r="123" spans="2:9">
      <c r="B123" s="122" t="str">
        <f t="array" ref="B123">IFERROR(INDEX($D$67:$D$107,SMALL(IF(FREQUENCY(IF($D$67:$D$107&lt;&gt;"",MATCH("~"&amp;$D$67:$D$107,$D$67:$D$107&amp;"",0)),ROW($D$67:$D$107)-ROW($D$67)+1),ROW($D$67:$D$107)-ROW($D$67)+1),ROWS(B$118:B123))),"")</f>
        <v>PE 12073</v>
      </c>
      <c r="C123" s="81"/>
      <c r="D123" s="111" t="e">
        <f t="shared" si="3"/>
        <v>#REF!</v>
      </c>
      <c r="E123" s="111" t="e">
        <f t="shared" si="4"/>
        <v>#REF!</v>
      </c>
      <c r="F123" s="122"/>
      <c r="G123" s="81"/>
      <c r="H123" s="81"/>
      <c r="I123" s="119"/>
    </row>
    <row r="124" spans="2:9">
      <c r="B124" s="122" t="str">
        <f t="array" ref="B124">IFERROR(INDEX($D$67:$D$107,SMALL(IF(FREQUENCY(IF($D$67:$D$107&lt;&gt;"",MATCH("~"&amp;$D$67:$D$107,$D$67:$D$107&amp;"",0)),ROW($D$67:$D$107)-ROW($D$67)+1),ROW($D$67:$D$107)-ROW($D$67)+1),ROWS(B$118:B124))),"")</f>
        <v xml:space="preserve">HDPE R-1760 </v>
      </c>
      <c r="C124" s="81"/>
      <c r="D124" s="111" t="e">
        <f t="shared" si="3"/>
        <v>#REF!</v>
      </c>
      <c r="E124" s="111" t="e">
        <f t="shared" si="4"/>
        <v>#REF!</v>
      </c>
      <c r="F124" s="122"/>
      <c r="G124" s="81"/>
      <c r="H124" s="81"/>
      <c r="I124" s="119"/>
    </row>
    <row r="125" spans="2:9">
      <c r="B125" s="122" t="str">
        <f t="array" ref="B125">IFERROR(INDEX($D$67:$D$107,SMALL(IF(FREQUENCY(IF($D$67:$D$107&lt;&gt;"",MATCH("~"&amp;$D$67:$D$107,$D$67:$D$107&amp;"",0)),ROW($D$67:$D$107)-ROW($D$67)+1),ROW($D$67:$D$107)-ROW($D$67)+1),ROWS(B$118:B125))),"")</f>
        <v>PC105</v>
      </c>
      <c r="C125" s="81"/>
      <c r="D125" s="111" t="e">
        <f t="shared" si="3"/>
        <v>#REF!</v>
      </c>
      <c r="E125" s="111" t="e">
        <f t="shared" si="4"/>
        <v>#REF!</v>
      </c>
      <c r="F125" s="122"/>
      <c r="G125" s="81"/>
      <c r="H125" s="81"/>
      <c r="I125" s="119"/>
    </row>
    <row r="126" spans="2:9">
      <c r="B126" s="122" t="str">
        <f t="array" ref="B126">IFERROR(INDEX($D$67:$D$107,SMALL(IF(FREQUENCY(IF($D$67:$D$107&lt;&gt;"",MATCH("~"&amp;$D$67:$D$107,$D$67:$D$107&amp;"",0)),ROW($D$67:$D$107)-ROW($D$67)+1),ROW($D$67:$D$107)-ROW($D$67)+1),ROWS(B$118:B126))),"")</f>
        <v>PMS 877</v>
      </c>
      <c r="C126" s="81"/>
      <c r="D126" s="111" t="e">
        <f t="shared" si="3"/>
        <v>#REF!</v>
      </c>
      <c r="E126" s="111" t="e">
        <f t="shared" si="4"/>
        <v>#REF!</v>
      </c>
      <c r="F126" s="122"/>
      <c r="G126" s="81"/>
      <c r="H126" s="81"/>
      <c r="I126" s="119"/>
    </row>
    <row r="127" spans="2:9">
      <c r="B127" s="122" t="str">
        <f t="array" ref="B127">IFERROR(INDEX($D$67:$D$107,SMALL(IF(FREQUENCY(IF($D$67:$D$107&lt;&gt;"",MATCH("~"&amp;$D$67:$D$107,$D$67:$D$107&amp;"",0)),ROW($D$67:$D$107)-ROW($D$67)+1),ROW($D$67:$D$107)-ROW($D$67)+1),ROWS(B$118:B127))),"")</f>
        <v>PMS 662</v>
      </c>
      <c r="C127" s="81"/>
      <c r="D127" s="111" t="e">
        <f t="shared" si="3"/>
        <v>#REF!</v>
      </c>
      <c r="E127" s="111" t="e">
        <f t="shared" si="4"/>
        <v>#REF!</v>
      </c>
      <c r="F127" s="122"/>
      <c r="G127" s="81"/>
      <c r="H127" s="81"/>
      <c r="I127" s="119"/>
    </row>
    <row r="128" spans="2:9">
      <c r="B128" s="122" t="str">
        <f t="array" ref="B128">IFERROR(INDEX($D$67:$D$107,SMALL(IF(FREQUENCY(IF($D$67:$D$107&lt;&gt;"",MATCH("~"&amp;$D$67:$D$107,$D$67:$D$107&amp;"",0)),ROW($D$67:$D$107)-ROW($D$67)+1),ROW($D$67:$D$107)-ROW($D$67)+1),ROWS(B$118:B128))),"")</f>
        <v>PMS555</v>
      </c>
      <c r="C128" s="81"/>
      <c r="D128" s="111" t="e">
        <f t="shared" si="3"/>
        <v>#REF!</v>
      </c>
      <c r="E128" s="111" t="e">
        <f t="shared" si="4"/>
        <v>#REF!</v>
      </c>
      <c r="F128" s="122"/>
      <c r="G128" s="81"/>
      <c r="H128" s="81"/>
      <c r="I128" s="119"/>
    </row>
    <row r="129" spans="2:9">
      <c r="B129" s="122" t="str">
        <f t="array" ref="B129">IFERROR(INDEX($D$67:$D$107,SMALL(IF(FREQUENCY(IF($D$67:$D$107&lt;&gt;"",MATCH("~"&amp;$D$67:$D$107,$D$67:$D$107&amp;"",0)),ROW($D$67:$D$107)-ROW($D$67)+1),ROW($D$67:$D$107)-ROW($D$67)+1),ROWS(B$118:B129))),"")</f>
        <v>Sheck 49049-02</v>
      </c>
      <c r="C129" s="81"/>
      <c r="D129" s="111" t="e">
        <f t="shared" si="3"/>
        <v>#REF!</v>
      </c>
      <c r="E129" s="111" t="e">
        <f t="shared" si="4"/>
        <v>#REF!</v>
      </c>
      <c r="F129" s="122"/>
      <c r="G129" s="81"/>
      <c r="H129" s="81"/>
      <c r="I129" s="119"/>
    </row>
    <row r="130" spans="2:9" ht="15" thickBot="1">
      <c r="B130" s="172" t="str">
        <f t="array" ref="B130">IFERROR(INDEX($D$67:$D$107,SMALL(IF(FREQUENCY(IF($D$67:$D$107&lt;&gt;"",MATCH("~"&amp;$D$67:$D$107,$D$67:$D$107&amp;"",0)),ROW($D$67:$D$107)-ROW($D$67)+1),ROW($D$67:$D$107)-ROW($D$67)+1),ROWS(B$118:B130))),"")</f>
        <v>Royal Blue</v>
      </c>
      <c r="C130" s="85"/>
      <c r="D130" s="170">
        <f t="shared" si="3"/>
        <v>1.0399999999999998</v>
      </c>
      <c r="E130" s="170">
        <f t="shared" si="4"/>
        <v>1.0399999999999998</v>
      </c>
      <c r="F130" s="172"/>
      <c r="G130" s="85"/>
      <c r="H130" s="85"/>
      <c r="I130" s="171"/>
    </row>
    <row r="131" spans="2:9">
      <c r="B131" s="163" t="s">
        <v>183</v>
      </c>
      <c r="C131" s="81"/>
      <c r="D131" s="168" t="s">
        <v>150</v>
      </c>
      <c r="E131" s="168" t="s">
        <v>151</v>
      </c>
      <c r="F131" s="122"/>
      <c r="G131" s="81"/>
      <c r="H131" s="81"/>
      <c r="I131" s="119"/>
    </row>
    <row r="132" spans="2:9">
      <c r="B132" s="122" t="str">
        <f t="array" ref="B132">IFERROR(INDEX($D$67:$D$107,SMALL(IF(FREQUENCY(IF($D$67:$D$107&lt;&gt;"",MATCH("~"&amp;$D$67:$D$107,$D$67:$D$107&amp;"",0)),ROW($D$67:$D$107)-ROW($D$67)+1),ROW($D$67:$D$107)-ROW($D$67)+1),ROWS(B$118:B132))),"")</f>
        <v>Screw on 70123</v>
      </c>
      <c r="C132" s="81"/>
      <c r="D132" s="111">
        <f t="shared" ref="D132:D137" si="5">IF(SUMIF($D$67:$D$108,$B132,$G$67:$G$108)=0,"",SUMIF($D$67:$D$108,$B132,$G$67:$G$108))</f>
        <v>1000</v>
      </c>
      <c r="E132" s="111">
        <f t="shared" ref="E132:E137" si="6">IF(D132="","",SUMIF($D$67:$D$108,$B132,$H$67:$H$108))</f>
        <v>1000</v>
      </c>
      <c r="F132" s="122"/>
      <c r="G132" s="81"/>
      <c r="H132" s="81"/>
      <c r="I132" s="119"/>
    </row>
    <row r="133" spans="2:9">
      <c r="B133" s="122" t="str">
        <f t="array" ref="B133">IFERROR(INDEX($D$67:$D$107,SMALL(IF(FREQUENCY(IF($D$67:$D$107&lt;&gt;"",MATCH("~"&amp;$D$67:$D$107,$D$67:$D$107&amp;"",0)),ROW($D$67:$D$107)-ROW($D$67)+1),ROW($D$67:$D$107)-ROW($D$67)+1),ROWS(B$118:B133))),"")</f>
        <v>SSK 123456</v>
      </c>
      <c r="C133" s="81"/>
      <c r="D133" s="111">
        <f t="shared" si="5"/>
        <v>1000</v>
      </c>
      <c r="E133" s="111">
        <f t="shared" si="6"/>
        <v>1000</v>
      </c>
      <c r="F133" s="122"/>
      <c r="G133" s="81"/>
      <c r="H133" s="81"/>
      <c r="I133" s="119"/>
    </row>
    <row r="134" spans="2:9">
      <c r="B134" s="122" t="str">
        <f t="array" ref="B134">IFERROR(INDEX($D$67:$D$107,SMALL(IF(FREQUENCY(IF($D$67:$D$107&lt;&gt;"",MATCH("~"&amp;$D$67:$D$107,$D$67:$D$107&amp;"",0)),ROW($D$67:$D$107)-ROW($D$67)+1),ROW($D$67:$D$107)-ROW($D$67)+1),ROWS(B$118:B134))),"")</f>
        <v>LS 534x230x110</v>
      </c>
      <c r="C134" s="81"/>
      <c r="D134" s="111">
        <f t="shared" si="5"/>
        <v>6.666666666666667</v>
      </c>
      <c r="E134" s="111">
        <f t="shared" si="6"/>
        <v>6.666666666666667</v>
      </c>
      <c r="F134" s="122"/>
      <c r="G134" s="81"/>
      <c r="H134" s="81"/>
      <c r="I134" s="119"/>
    </row>
    <row r="135" spans="2:9">
      <c r="B135" s="122" t="str">
        <f t="array" ref="B135">IFERROR(INDEX($D$67:$D$107,SMALL(IF(FREQUENCY(IF($D$67:$D$107&lt;&gt;"",MATCH("~"&amp;$D$67:$D$107,$D$67:$D$107&amp;"",0)),ROW($D$67:$D$107)-ROW($D$67)+1),ROW($D$67:$D$107)-ROW($D$67)+1),ROWS(B$118:B135))),"")</f>
        <v/>
      </c>
      <c r="C135" s="81"/>
      <c r="D135" s="111" t="str">
        <f t="shared" si="5"/>
        <v/>
      </c>
      <c r="E135" s="111" t="str">
        <f t="shared" si="6"/>
        <v/>
      </c>
      <c r="F135" s="91"/>
      <c r="G135" s="81"/>
      <c r="H135" s="81"/>
      <c r="I135" s="119"/>
    </row>
    <row r="136" spans="2:9">
      <c r="B136" s="122" t="str">
        <f t="array" ref="B136">IFERROR(INDEX($D$67:$D$107,SMALL(IF(FREQUENCY(IF($D$67:$D$107&lt;&gt;"",MATCH("~"&amp;$D$67:$D$107,$D$67:$D$107&amp;"",0)),ROW($D$67:$D$107)-ROW($D$67)+1),ROW($D$67:$D$107)-ROW($D$67)+1),ROWS(B$118:B136))),"")</f>
        <v/>
      </c>
      <c r="C136" s="81"/>
      <c r="D136" s="111" t="str">
        <f t="shared" si="5"/>
        <v/>
      </c>
      <c r="E136" s="111" t="str">
        <f t="shared" si="6"/>
        <v/>
      </c>
      <c r="F136" s="91"/>
      <c r="G136" s="81"/>
      <c r="H136" s="81"/>
      <c r="I136" s="119"/>
    </row>
    <row r="137" spans="2:9" ht="15" thickBot="1">
      <c r="B137" s="172" t="str">
        <f t="array" ref="B137">IFERROR(INDEX($D$67:$D$107,SMALL(IF(FREQUENCY(IF($D$67:$D$107&lt;&gt;"",MATCH("~"&amp;$D$67:$D$107,$D$67:$D$107&amp;"",0)),ROW($D$67:$D$107)-ROW($D$67)+1),ROW($D$67:$D$107)-ROW($D$67)+1),ROWS(B$118:B137))),"")</f>
        <v/>
      </c>
      <c r="C137" s="85"/>
      <c r="D137" s="170" t="str">
        <f t="shared" si="5"/>
        <v/>
      </c>
      <c r="E137" s="170" t="str">
        <f t="shared" si="6"/>
        <v/>
      </c>
      <c r="F137" s="173"/>
      <c r="G137" s="85"/>
      <c r="H137" s="85"/>
      <c r="I137" s="171"/>
    </row>
    <row r="138" spans="2:9">
      <c r="B138" s="163" t="s">
        <v>184</v>
      </c>
      <c r="C138" s="81"/>
      <c r="D138" s="168" t="s">
        <v>150</v>
      </c>
      <c r="E138" s="168" t="s">
        <v>151</v>
      </c>
      <c r="F138" s="91"/>
      <c r="G138" s="81"/>
      <c r="H138" s="81"/>
      <c r="I138" s="119"/>
    </row>
    <row r="139" spans="2:9">
      <c r="B139" s="122" t="str">
        <f t="array" ref="B139">IFERROR(INDEX($D$67:$D$107,SMALL(IF(FREQUENCY(IF($D$67:$D$107&lt;&gt;"",MATCH("~"&amp;$D$67:$D$107,$D$67:$D$107&amp;"",0)),ROW($D$67:$D$107)-ROW($D$67)+1),ROW($D$67:$D$107)-ROW($D$67)+1),ROWS(B$118:B139))),"")</f>
        <v/>
      </c>
      <c r="C139" s="81"/>
      <c r="D139" s="111" t="str">
        <f t="shared" ref="D139:D145" si="7">IF(SUMIF($D$67:$D$108,$B139,$G$67:$G$108)=0,"",SUMIF($D$67:$D$108,$B139,$G$67:$G$108))</f>
        <v/>
      </c>
      <c r="E139" s="111" t="str">
        <f t="shared" ref="E139:E145" si="8">IF(D139="","",SUMIF($D$67:$D$108,$B139,$H$67:$H$108))</f>
        <v/>
      </c>
      <c r="F139" s="91"/>
      <c r="G139" s="81"/>
      <c r="H139" s="81"/>
      <c r="I139" s="119"/>
    </row>
    <row r="140" spans="2:9">
      <c r="B140" s="122" t="str">
        <f t="array" ref="B140">IFERROR(INDEX($D$67:$D$107,SMALL(IF(FREQUENCY(IF($D$67:$D$107&lt;&gt;"",MATCH("~"&amp;$D$67:$D$107,$D$67:$D$107&amp;"",0)),ROW($D$67:$D$107)-ROW($D$67)+1),ROW($D$67:$D$107)-ROW($D$67)+1),ROWS(B$118:B140))),"")</f>
        <v/>
      </c>
      <c r="C140" s="81"/>
      <c r="D140" s="111" t="str">
        <f t="shared" si="7"/>
        <v/>
      </c>
      <c r="E140" s="111" t="str">
        <f t="shared" si="8"/>
        <v/>
      </c>
      <c r="F140" s="91"/>
      <c r="G140" s="81"/>
      <c r="H140" s="81"/>
      <c r="I140" s="119"/>
    </row>
    <row r="141" spans="2:9">
      <c r="B141" s="122" t="str">
        <f t="array" ref="B141">IFERROR(INDEX($D$67:$D$107,SMALL(IF(FREQUENCY(IF($D$67:$D$107&lt;&gt;"",MATCH("~"&amp;$D$67:$D$107,$D$67:$D$107&amp;"",0)),ROW($D$67:$D$107)-ROW($D$67)+1),ROW($D$67:$D$107)-ROW($D$67)+1),ROWS(B$118:B141))),"")</f>
        <v/>
      </c>
      <c r="C141" s="81"/>
      <c r="D141" s="111" t="str">
        <f t="shared" si="7"/>
        <v/>
      </c>
      <c r="E141" s="111" t="str">
        <f t="shared" si="8"/>
        <v/>
      </c>
      <c r="F141" s="91"/>
      <c r="G141" s="81"/>
      <c r="H141" s="81"/>
      <c r="I141" s="119"/>
    </row>
    <row r="142" spans="2:9" ht="21" customHeight="1">
      <c r="B142" s="122" t="str">
        <f t="array" ref="B142">IFERROR(INDEX($D$67:$D$107,SMALL(IF(FREQUENCY(IF($D$67:$D$107&lt;&gt;"",MATCH("~"&amp;$D$67:$D$107,$D$67:$D$107&amp;"",0)),ROW($D$67:$D$107)-ROW($D$67)+1),ROW($D$67:$D$107)-ROW($D$67)+1),ROWS(B$118:B142))),"")</f>
        <v/>
      </c>
      <c r="C142" s="81"/>
      <c r="D142" s="111" t="str">
        <f t="shared" si="7"/>
        <v/>
      </c>
      <c r="E142" s="111" t="str">
        <f t="shared" si="8"/>
        <v/>
      </c>
      <c r="F142" s="91"/>
      <c r="G142" s="81"/>
      <c r="H142" s="81"/>
      <c r="I142" s="119"/>
    </row>
    <row r="143" spans="2:9">
      <c r="B143" s="122" t="str">
        <f t="array" ref="B143">IFERROR(INDEX($D$67:$D$107,SMALL(IF(FREQUENCY(IF($D$67:$D$107&lt;&gt;"",MATCH("~"&amp;$D$67:$D$107,$D$67:$D$107&amp;"",0)),ROW($D$67:$D$107)-ROW($D$67)+1),ROW($D$67:$D$107)-ROW($D$67)+1),ROWS(B$118:B143))),"")</f>
        <v/>
      </c>
      <c r="C143" s="81"/>
      <c r="D143" s="111" t="str">
        <f t="shared" si="7"/>
        <v/>
      </c>
      <c r="E143" s="111" t="str">
        <f t="shared" si="8"/>
        <v/>
      </c>
      <c r="F143" s="91"/>
      <c r="G143" s="81"/>
      <c r="H143" s="81"/>
      <c r="I143" s="119"/>
    </row>
    <row r="144" spans="2:9">
      <c r="B144" s="122" t="str">
        <f t="array" ref="B144">IFERROR(INDEX($D$67:$D$107,SMALL(IF(FREQUENCY(IF($D$67:$D$107&lt;&gt;"",MATCH("~"&amp;$D$67:$D$107,$D$67:$D$107&amp;"",0)),ROW($D$67:$D$107)-ROW($D$67)+1),ROW($D$67:$D$107)-ROW($D$67)+1),ROWS(B$118:B144))),"")</f>
        <v/>
      </c>
      <c r="C144" s="81"/>
      <c r="D144" s="111" t="str">
        <f t="shared" si="7"/>
        <v/>
      </c>
      <c r="E144" s="111" t="str">
        <f t="shared" si="8"/>
        <v/>
      </c>
      <c r="F144" s="91"/>
      <c r="G144" s="81"/>
      <c r="H144" s="81"/>
      <c r="I144" s="119"/>
    </row>
    <row r="145" spans="2:9">
      <c r="B145" s="122" t="str">
        <f t="array" ref="B145">IFERROR(INDEX($D$67:$D$107,SMALL(IF(FREQUENCY(IF($D$67:$D$107&lt;&gt;"",MATCH("~"&amp;$D$67:$D$107,$D$67:$D$107&amp;"",0)),ROW($D$67:$D$107)-ROW($D$67)+1),ROW($D$67:$D$107)-ROW($D$67)+1),ROWS(B$118:B145))),"")</f>
        <v/>
      </c>
      <c r="C145" s="81"/>
      <c r="D145" s="111" t="str">
        <f t="shared" si="7"/>
        <v/>
      </c>
      <c r="E145" s="111" t="str">
        <f t="shared" si="8"/>
        <v/>
      </c>
      <c r="F145" s="91"/>
      <c r="G145" s="81"/>
      <c r="H145" s="81"/>
      <c r="I145" s="119"/>
    </row>
    <row r="146" spans="2:9">
      <c r="B146" s="123"/>
      <c r="C146" s="81"/>
      <c r="D146" s="111"/>
      <c r="E146" s="111"/>
      <c r="F146" s="81"/>
      <c r="G146" s="81"/>
      <c r="H146" s="81"/>
      <c r="I146" s="119"/>
    </row>
    <row r="147" spans="2:9">
      <c r="B147" s="123"/>
      <c r="C147" s="81"/>
      <c r="D147" s="111"/>
      <c r="E147" s="111"/>
      <c r="F147" s="81"/>
      <c r="G147" s="81"/>
      <c r="H147" s="81"/>
      <c r="I147" s="119"/>
    </row>
    <row r="148" spans="2:9">
      <c r="B148" s="123"/>
      <c r="C148" s="81"/>
      <c r="D148" s="111"/>
      <c r="E148" s="111"/>
      <c r="F148" s="81"/>
      <c r="G148" s="81"/>
      <c r="H148" s="81"/>
      <c r="I148" s="119"/>
    </row>
    <row r="149" spans="2:9">
      <c r="B149" s="123"/>
      <c r="C149" s="81"/>
      <c r="D149" s="111"/>
      <c r="E149" s="111"/>
      <c r="F149" s="81"/>
      <c r="G149" s="81"/>
      <c r="H149" s="81"/>
      <c r="I149" s="119"/>
    </row>
    <row r="150" spans="2:9" ht="15" thickBot="1">
      <c r="B150" s="169"/>
      <c r="C150" s="85"/>
      <c r="D150" s="170"/>
      <c r="E150" s="170"/>
      <c r="F150" s="85"/>
      <c r="G150" s="85"/>
      <c r="H150" s="85"/>
      <c r="I150" s="171"/>
    </row>
    <row r="151" spans="2:9">
      <c r="B151" s="164" t="s">
        <v>185</v>
      </c>
      <c r="C151" s="81"/>
      <c r="D151" s="168" t="s">
        <v>150</v>
      </c>
      <c r="E151" s="168" t="s">
        <v>151</v>
      </c>
      <c r="F151" s="81"/>
      <c r="G151" s="81"/>
      <c r="H151" s="81"/>
      <c r="I151" s="119"/>
    </row>
    <row r="152" spans="2:9">
      <c r="B152" s="123"/>
      <c r="C152" s="81"/>
      <c r="D152" s="167"/>
      <c r="E152" s="166"/>
      <c r="F152" s="81"/>
      <c r="G152" s="81"/>
      <c r="H152" s="81"/>
      <c r="I152" s="119"/>
    </row>
    <row r="153" spans="2:9">
      <c r="B153" s="123"/>
      <c r="C153" s="81"/>
      <c r="D153" s="111"/>
      <c r="E153" s="165"/>
      <c r="F153" s="81"/>
      <c r="G153" s="81"/>
      <c r="H153" s="81"/>
      <c r="I153" s="119"/>
    </row>
    <row r="154" spans="2:9">
      <c r="B154" s="123"/>
      <c r="C154" s="81"/>
      <c r="D154" s="111"/>
      <c r="E154" s="165"/>
      <c r="F154" s="81"/>
      <c r="G154" s="81"/>
      <c r="H154" s="81"/>
      <c r="I154" s="119"/>
    </row>
    <row r="155" spans="2:9">
      <c r="B155" s="123"/>
      <c r="C155" s="81"/>
      <c r="D155" s="111"/>
      <c r="E155" s="165"/>
      <c r="F155" s="81"/>
      <c r="G155" s="81"/>
      <c r="H155" s="81"/>
      <c r="I155" s="119"/>
    </row>
    <row r="156" spans="2:9">
      <c r="B156" s="123"/>
      <c r="C156" s="81"/>
      <c r="D156" s="111"/>
      <c r="E156" s="165"/>
      <c r="F156" s="81"/>
      <c r="G156" s="81"/>
      <c r="H156" s="81"/>
      <c r="I156" s="119"/>
    </row>
    <row r="157" spans="2:9">
      <c r="B157" s="123"/>
      <c r="C157" s="81"/>
      <c r="D157" s="111"/>
      <c r="E157" s="165"/>
      <c r="F157" s="81"/>
      <c r="G157" s="81"/>
      <c r="H157" s="81"/>
      <c r="I157" s="119"/>
    </row>
    <row r="158" spans="2:9" ht="15" thickBot="1">
      <c r="B158" s="169"/>
      <c r="C158" s="85"/>
      <c r="D158" s="170"/>
      <c r="E158" s="174"/>
      <c r="F158" s="85"/>
      <c r="G158" s="85"/>
      <c r="H158" s="85"/>
      <c r="I158" s="171"/>
    </row>
    <row r="159" spans="2:9">
      <c r="B159" s="123"/>
      <c r="C159" s="81"/>
      <c r="D159" s="84"/>
      <c r="E159" s="84"/>
      <c r="F159" s="81"/>
      <c r="G159" s="81"/>
      <c r="H159" s="81"/>
      <c r="I159" s="119"/>
    </row>
    <row r="160" spans="2:9">
      <c r="B160" s="123"/>
      <c r="C160" s="81"/>
      <c r="D160" s="84"/>
      <c r="E160" s="84"/>
      <c r="F160" s="81"/>
      <c r="G160" s="81"/>
      <c r="H160" s="81"/>
      <c r="I160" s="119"/>
    </row>
    <row r="161" spans="2:11">
      <c r="B161" s="123"/>
      <c r="C161" s="81"/>
      <c r="D161" s="84"/>
      <c r="E161" s="84"/>
      <c r="F161" s="81"/>
      <c r="G161" s="81"/>
      <c r="H161" s="81"/>
      <c r="I161" s="119"/>
    </row>
    <row r="162" spans="2:11">
      <c r="B162" s="123"/>
      <c r="C162" s="81"/>
      <c r="D162" s="84"/>
      <c r="E162" s="84"/>
      <c r="F162" s="81"/>
      <c r="G162" s="81"/>
      <c r="H162" s="81"/>
      <c r="I162" s="119"/>
    </row>
    <row r="163" spans="2:11">
      <c r="B163" s="136" t="s">
        <v>152</v>
      </c>
      <c r="C163" s="258"/>
      <c r="D163" s="258"/>
      <c r="E163" s="258"/>
      <c r="F163" s="132" t="s">
        <v>153</v>
      </c>
      <c r="G163" s="100"/>
      <c r="H163" s="100"/>
      <c r="I163" s="117"/>
    </row>
    <row r="164" spans="2:11">
      <c r="B164" s="123" t="s">
        <v>155</v>
      </c>
      <c r="C164" s="81"/>
      <c r="D164" s="81"/>
      <c r="E164" s="81"/>
      <c r="F164" s="131" t="s">
        <v>156</v>
      </c>
      <c r="G164" s="81"/>
      <c r="H164" s="81"/>
      <c r="I164" s="119"/>
    </row>
    <row r="165" spans="2:11">
      <c r="B165" s="136" t="s">
        <v>154</v>
      </c>
      <c r="C165" s="258"/>
      <c r="D165" s="258"/>
      <c r="E165" s="258"/>
      <c r="F165" s="132" t="s">
        <v>153</v>
      </c>
      <c r="G165" s="100"/>
      <c r="H165" s="100"/>
      <c r="I165" s="117"/>
    </row>
    <row r="166" spans="2:11">
      <c r="B166" s="123" t="s">
        <v>157</v>
      </c>
      <c r="C166" s="81"/>
      <c r="D166" s="81"/>
      <c r="E166" s="81"/>
      <c r="F166" s="131" t="s">
        <v>158</v>
      </c>
      <c r="G166" s="81"/>
      <c r="H166" s="81"/>
      <c r="I166" s="119"/>
    </row>
    <row r="167" spans="2:11">
      <c r="B167" s="112"/>
      <c r="C167" s="100"/>
      <c r="D167" s="100"/>
      <c r="E167" s="100"/>
      <c r="F167" s="100"/>
      <c r="G167" s="100"/>
      <c r="H167" s="100"/>
      <c r="I167" s="117"/>
    </row>
    <row r="168" spans="2:11" ht="15" thickBot="1">
      <c r="B168" s="63"/>
      <c r="C168" s="63"/>
      <c r="D168" s="63"/>
      <c r="E168" s="63"/>
      <c r="F168" s="63"/>
      <c r="G168" s="63"/>
      <c r="H168" s="63"/>
      <c r="I168" s="63"/>
      <c r="J168" s="63"/>
      <c r="K168" s="63"/>
    </row>
  </sheetData>
  <customSheetViews>
    <customSheetView guid="{ABB6CAE8-7B06-4F40-9BB0-7C5536175C1A}" showPageBreaks="1">
      <selection activeCell="M4" sqref="M4"/>
      <pageMargins left="0.31496062992125984" right="0.31496062992125984" top="0.19685039370078741" bottom="0.19685039370078741" header="0.11811023622047245" footer="0.31496062992125984"/>
      <printOptions verticalCentered="1"/>
      <pageSetup paperSize="9" orientation="portrait" r:id="rId1"/>
    </customSheetView>
  </customSheetViews>
  <mergeCells count="85">
    <mergeCell ref="C109:E109"/>
    <mergeCell ref="C111:E111"/>
    <mergeCell ref="F116:I116"/>
    <mergeCell ref="C163:E163"/>
    <mergeCell ref="C165:E165"/>
    <mergeCell ref="B116:C116"/>
    <mergeCell ref="C59:D59"/>
    <mergeCell ref="G59:J59"/>
    <mergeCell ref="C8:J8"/>
    <mergeCell ref="C9:F9"/>
    <mergeCell ref="H10:J10"/>
    <mergeCell ref="H9:J9"/>
    <mergeCell ref="B12:C12"/>
    <mergeCell ref="B13:C13"/>
    <mergeCell ref="B14:C14"/>
    <mergeCell ref="B15:C15"/>
    <mergeCell ref="F12:G12"/>
    <mergeCell ref="F16:G16"/>
    <mergeCell ref="H12:J12"/>
    <mergeCell ref="E47:E48"/>
    <mergeCell ref="C47:C48"/>
    <mergeCell ref="C56:D56"/>
    <mergeCell ref="D54:J54"/>
    <mergeCell ref="I47:J47"/>
    <mergeCell ref="H53:I53"/>
    <mergeCell ref="D27:J27"/>
    <mergeCell ref="I45:J45"/>
    <mergeCell ref="I46:J46"/>
    <mergeCell ref="H49:J49"/>
    <mergeCell ref="D53:F53"/>
    <mergeCell ref="E6:F6"/>
    <mergeCell ref="F13:G13"/>
    <mergeCell ref="C10:F10"/>
    <mergeCell ref="G6:J6"/>
    <mergeCell ref="D49:F49"/>
    <mergeCell ref="D13:E13"/>
    <mergeCell ref="D14:E14"/>
    <mergeCell ref="C58:D58"/>
    <mergeCell ref="G56:I56"/>
    <mergeCell ref="G57:I57"/>
    <mergeCell ref="G58:I58"/>
    <mergeCell ref="C57:D57"/>
    <mergeCell ref="G5:J5"/>
    <mergeCell ref="C6:D6"/>
    <mergeCell ref="E5:F5"/>
    <mergeCell ref="H13:J13"/>
    <mergeCell ref="F14:G14"/>
    <mergeCell ref="I19:J19"/>
    <mergeCell ref="H14:J14"/>
    <mergeCell ref="H15:J15"/>
    <mergeCell ref="F15:G15"/>
    <mergeCell ref="H16:J16"/>
    <mergeCell ref="D19:G19"/>
    <mergeCell ref="D16:E16"/>
    <mergeCell ref="D26:G26"/>
    <mergeCell ref="B4:J4"/>
    <mergeCell ref="F29:J43"/>
    <mergeCell ref="B20:C20"/>
    <mergeCell ref="B21:C21"/>
    <mergeCell ref="B22:C22"/>
    <mergeCell ref="B23:C23"/>
    <mergeCell ref="B24:C24"/>
    <mergeCell ref="B26:C26"/>
    <mergeCell ref="B27:C27"/>
    <mergeCell ref="D20:G20"/>
    <mergeCell ref="D21:G21"/>
    <mergeCell ref="C5:D5"/>
    <mergeCell ref="D12:E12"/>
    <mergeCell ref="D22:G22"/>
    <mergeCell ref="D23:G23"/>
    <mergeCell ref="D24:G24"/>
    <mergeCell ref="B53:B54"/>
    <mergeCell ref="F47:G47"/>
    <mergeCell ref="D15:E15"/>
    <mergeCell ref="B19:C19"/>
    <mergeCell ref="B45:B47"/>
    <mergeCell ref="B49:B51"/>
    <mergeCell ref="F45:G45"/>
    <mergeCell ref="F46:G46"/>
    <mergeCell ref="B25:C25"/>
    <mergeCell ref="D25:G25"/>
    <mergeCell ref="B16:C16"/>
    <mergeCell ref="D50:J50"/>
    <mergeCell ref="D51:J51"/>
    <mergeCell ref="C54:C55"/>
  </mergeCells>
  <conditionalFormatting sqref="C5:D5 G5:H5 I14:I16 C9:D10 H9:I10 H12:H16 I12">
    <cfRule type="cellIs" dxfId="14" priority="45" operator="greaterThan">
      <formula>0</formula>
    </cfRule>
    <cfRule type="cellIs" dxfId="13" priority="46" operator="greaterThan">
      <formula>0</formula>
    </cfRule>
    <cfRule type="cellIs" dxfId="12" priority="47" operator="greaterThan">
      <formula>0</formula>
    </cfRule>
    <cfRule type="cellIs" dxfId="11" priority="48" operator="greaterThan">
      <formula>0</formula>
    </cfRule>
    <cfRule type="cellIs" dxfId="10" priority="49" operator="equal">
      <formula>5</formula>
    </cfRule>
    <cfRule type="cellIs" dxfId="9" priority="50" operator="greaterThan">
      <formula>$C$5=O</formula>
    </cfRule>
  </conditionalFormatting>
  <conditionalFormatting sqref="D45:D47 C6:D6 G6:J6 F45:G47 I45:J47">
    <cfRule type="cellIs" dxfId="8" priority="26" operator="greaterThan">
      <formula>0</formula>
    </cfRule>
  </conditionalFormatting>
  <conditionalFormatting sqref="D30:E43">
    <cfRule type="cellIs" dxfId="7" priority="19" operator="greaterThan">
      <formula>0</formula>
    </cfRule>
    <cfRule type="cellIs" dxfId="6" priority="20" operator="greaterThan">
      <formula>0</formula>
    </cfRule>
  </conditionalFormatting>
  <conditionalFormatting sqref="D54 D50:D51 D20:I24 D25:G25 D27:J27 D26:I26 H49:J49 H53:I53 D12:E16 G5:J6 C8:J8 H10:J10 D49:F49 D53:F53">
    <cfRule type="cellIs" dxfId="5" priority="18" operator="greaterThan">
      <formula>0</formula>
    </cfRule>
  </conditionalFormatting>
  <conditionalFormatting sqref="I25">
    <cfRule type="cellIs" dxfId="4" priority="6" operator="greaterThan">
      <formula>530</formula>
    </cfRule>
    <cfRule type="cellIs" dxfId="3" priority="7" operator="greaterThan">
      <formula>600</formula>
    </cfRule>
    <cfRule type="cellIs" dxfId="2" priority="8" operator="greaterThan">
      <formula>530</formula>
    </cfRule>
  </conditionalFormatting>
  <conditionalFormatting sqref="D66:E66">
    <cfRule type="iconSet" priority="5">
      <iconSet iconSet="3TrafficLights2">
        <cfvo type="percent" val="0"/>
        <cfvo type="percent" val="33"/>
        <cfvo type="percent" val="67"/>
      </iconSet>
    </cfRule>
  </conditionalFormatting>
  <conditionalFormatting sqref="D67:E80 D85">
    <cfRule type="cellIs" dxfId="1" priority="3" operator="lessThan">
      <formula>0</formula>
    </cfRule>
    <cfRule type="cellIs" dxfId="0" priority="4" operator="lessThan">
      <formula>0</formula>
    </cfRule>
  </conditionalFormatting>
  <dataValidations count="9">
    <dataValidation type="list" allowBlank="1" showInputMessage="1" showErrorMessage="1" sqref="D68">
      <formula1>#REF!</formula1>
    </dataValidation>
    <dataValidation type="list" allowBlank="1" showInputMessage="1" showErrorMessage="1" sqref="D71">
      <formula1>#REF!</formula1>
    </dataValidation>
    <dataValidation type="list" allowBlank="1" showInputMessage="1" showErrorMessage="1" sqref="D74">
      <formula1>#REF!</formula1>
    </dataValidation>
    <dataValidation type="list" allowBlank="1" showInputMessage="1" showErrorMessage="1" sqref="D77">
      <formula1>#REF!</formula1>
    </dataValidation>
    <dataValidation type="list" allowBlank="1" showInputMessage="1" showErrorMessage="1" sqref="D83">
      <formula1>#REF!</formula1>
    </dataValidation>
    <dataValidation type="list" allowBlank="1" showInputMessage="1" showErrorMessage="1" sqref="D67">
      <formula1>#REF!</formula1>
    </dataValidation>
    <dataValidation type="list" allowBlank="1" showInputMessage="1" showErrorMessage="1" sqref="D84">
      <formula1>#REF!</formula1>
    </dataValidation>
    <dataValidation type="list" allowBlank="1" showInputMessage="1" showErrorMessage="1" sqref="D99">
      <formula1>#REF!</formula1>
    </dataValidation>
    <dataValidation type="list" allowBlank="1" showInputMessage="1" showErrorMessage="1" sqref="D100">
      <formula1>#REF!</formula1>
    </dataValidation>
  </dataValidations>
  <printOptions horizontalCentered="1"/>
  <pageMargins left="0.31496062992125984" right="0.31496062992125984" top="0.52" bottom="0.19685039370078741" header="0.11811023622047245" footer="0.42"/>
  <pageSetup paperSize="9" scale="90" orientation="portrait" r:id="rId2"/>
  <drawing r:id="rId3"/>
  <legacyDrawing r:id="rId4"/>
  <controls>
    <control shapeId="5199" r:id="rId5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PDR2014</vt:lpstr>
      <vt:lpstr>'PDR2014'!Print_Area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pitak</dc:creator>
  <cp:lastModifiedBy>Ekkaluk</cp:lastModifiedBy>
  <cp:lastPrinted>2014-01-03T08:15:06Z</cp:lastPrinted>
  <dcterms:created xsi:type="dcterms:W3CDTF">2013-11-30T04:38:30Z</dcterms:created>
  <dcterms:modified xsi:type="dcterms:W3CDTF">2014-01-13T10:45:23Z</dcterms:modified>
</cp:coreProperties>
</file>