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120" yWindow="90" windowWidth="12120" windowHeight="8130" tabRatio="752"/>
  </bookViews>
  <sheets>
    <sheet name="Control_Sheet" sheetId="8" r:id="rId1"/>
    <sheet name="Help" sheetId="112" r:id="rId2"/>
    <sheet name="CompanyProfile" sheetId="54" r:id="rId3"/>
    <sheet name="Employee" sheetId="4" r:id="rId4"/>
    <sheet name="Employee2" sheetId="109" r:id="rId5"/>
    <sheet name="SheetData" sheetId="60" r:id="rId6"/>
    <sheet name="TempData" sheetId="5" r:id="rId7"/>
    <sheet name="Salary Report" sheetId="84" r:id="rId8"/>
    <sheet name="Report1" sheetId="71" r:id="rId9"/>
    <sheet name="Tax01" sheetId="9" r:id="rId10"/>
    <sheet name="Bank_Payment" sheetId="11" r:id="rId11"/>
    <sheet name="WhTax" sheetId="6" r:id="rId12"/>
    <sheet name="Pay_slip" sheetId="3" r:id="rId13"/>
    <sheet name="สปส.1-10 ส่วนที่1" sheetId="114" r:id="rId14"/>
    <sheet name="สาขา1" sheetId="115" r:id="rId15"/>
    <sheet name="สปส. 1-03-1" sheetId="117" r:id="rId16"/>
    <sheet name="สปส. 6-09" sheetId="118" r:id="rId17"/>
    <sheet name="YearToDate" sheetId="82" r:id="rId18"/>
    <sheet name="Mar" sheetId="137" r:id="rId19"/>
    <sheet name="Feb" sheetId="121" r:id="rId20"/>
    <sheet name="Jan" sheetId="116" r:id="rId21"/>
    <sheet name="TaxCalculation" sheetId="110" r:id="rId22"/>
    <sheet name="TempData2" sheetId="64" state="hidden" r:id="rId23"/>
  </sheets>
  <definedNames>
    <definedName name="_xlnm._FilterDatabase" localSheetId="3" hidden="1">Employee!$A$1:$V$114</definedName>
    <definedName name="_xlnm._FilterDatabase" localSheetId="4" hidden="1">Employee2!$A$1:$V$71</definedName>
    <definedName name="_SPS1031">CompanyProfile!$A$126:$F$150</definedName>
    <definedName name="_SPS609">CompanyProfile!$A$156:$J$180</definedName>
    <definedName name="D_Bank">CompanyProfile!$54:$54</definedName>
    <definedName name="Data1">CompanyProfile!$88:$88</definedName>
    <definedName name="Data2">CompanyProfile!$89:$89</definedName>
    <definedName name="DULine">CompanyProfile!$91:$91</definedName>
    <definedName name="EmpDB">OFFSET(Employee!$A$1,0,0,COUNTA(Employee!$A:$A),COUNTA(Employee!$1:$1))</definedName>
    <definedName name="EmpNo1">CompanyProfile!$B$88</definedName>
    <definedName name="EmpNo2">CompanyProfile!$B$89</definedName>
    <definedName name="EndNo">Control_Sheet!$Z$3</definedName>
    <definedName name="EndNo2">Control_Sheet!$AA$3</definedName>
    <definedName name="F_Bank">CompanyProfile!$56:$56</definedName>
    <definedName name="FM1TAX01">CompanyProfile!$71:$74</definedName>
    <definedName name="FM2TAX01">CompanyProfile!$77:$82</definedName>
    <definedName name="GReport">'Salary Report'!$50:$50</definedName>
    <definedName name="GTot_Bank">CompanyProfile!$56:$56</definedName>
    <definedName name="H_Bank">CompanyProfile!$50:$53</definedName>
    <definedName name="HTax1">CompanyProfile!$62:$70</definedName>
    <definedName name="ListEmp1">OFFSET(TempData!$B$5,1,0,COUNTA(TempData!$B:$B))</definedName>
    <definedName name="ListEmp2">OFFSET(YearToDate!$B$5,1,0,COUNTA(YearToDate!$B:$B))</definedName>
    <definedName name="LTax1">CompanyProfile!$71:$71</definedName>
    <definedName name="LTax2">CompanyProfile!$72:$72</definedName>
    <definedName name="LTax3">CompanyProfile!$73:$73</definedName>
    <definedName name="MthName">TaxCalculation!$D$109</definedName>
    <definedName name="PDate">TaxCalculation!$D$114</definedName>
    <definedName name="_xlnm.Print_Area" localSheetId="10">Bank_Payment!$A:$G</definedName>
    <definedName name="_xlnm.Print_Area" localSheetId="3">Employee!$A$1:$I$27</definedName>
    <definedName name="_xlnm.Print_Area" localSheetId="4">Employee2!$A$1:$T$29</definedName>
    <definedName name="_xlnm.Print_Area" localSheetId="1">Help!$A:$D</definedName>
    <definedName name="_xlnm.Print_Area" localSheetId="12">Pay_slip!$A$1:$F$50</definedName>
    <definedName name="_xlnm.Print_Area" localSheetId="8">Report1!$A:$T</definedName>
    <definedName name="_xlnm.Print_Area" localSheetId="7">'Salary Report'!$A$1:$L$29</definedName>
    <definedName name="_xlnm.Print_Area" localSheetId="5">SheetData!$A:$T</definedName>
    <definedName name="_xlnm.Print_Area" localSheetId="9">'Tax01'!$A$1:$AB$75</definedName>
    <definedName name="_xlnm.Print_Area" localSheetId="21">TaxCalculation!$A$10:$F$66</definedName>
    <definedName name="_xlnm.Print_Area" localSheetId="6">TempData!$A:$R</definedName>
    <definedName name="_xlnm.Print_Area" localSheetId="22">TempData2!$A:$R</definedName>
    <definedName name="_xlnm.Print_Area" localSheetId="11">WhTax!$A$1:$O$37</definedName>
    <definedName name="_xlnm.Print_Area" localSheetId="17">YearToDate!$A:$R</definedName>
    <definedName name="_xlnm.Print_Area" localSheetId="16">'สปส. 6-09'!$A:$J</definedName>
    <definedName name="_xlnm.Print_Area" localSheetId="13">'สปส.1-10 ส่วนที่1'!$A$1:$K$26</definedName>
    <definedName name="_xlnm.Print_Area" localSheetId="14">สาขา1!$1:$40</definedName>
    <definedName name="_xlnm.Print_Titles" localSheetId="10">Bank_Payment!$1:$4</definedName>
    <definedName name="_xlnm.Print_Titles" localSheetId="3">Employee!$1:$1</definedName>
    <definedName name="_xlnm.Print_Titles" localSheetId="4">Employee2!$1:$1</definedName>
    <definedName name="_xlnm.Print_Titles" localSheetId="8">Report1!$1:$2</definedName>
    <definedName name="_xlnm.Print_Titles" localSheetId="5">SheetData!$1:$5</definedName>
    <definedName name="_xlnm.Print_Titles" localSheetId="9">'Tax01'!$1:$9</definedName>
    <definedName name="_xlnm.Print_Titles" localSheetId="6">TempData!$1:$5</definedName>
    <definedName name="_xlnm.Print_Titles" localSheetId="22">TempData2!$1:$5</definedName>
    <definedName name="_xlnm.Print_Titles" localSheetId="17">YearToDate!$1:$5</definedName>
    <definedName name="SBranch">CompanyProfile!$A$101:$G$120</definedName>
    <definedName name="SelBank">Control_Sheet!$L$5</definedName>
    <definedName name="SelCostCenter">Control_Sheet!$L$3</definedName>
    <definedName name="SFRate">CompanyProfile!$C$8</definedName>
    <definedName name="SSFFileName">CompanyProfile!$C$9</definedName>
    <definedName name="StartNo">Control_Sheet!$Z$2</definedName>
    <definedName name="StartNo2">Control_Sheet!$AA$2</definedName>
    <definedName name="TaxSetUp">TaxCalculation!$AD$12:$AO$55</definedName>
    <definedName name="Tot_Bank">CompanyProfile!$55:$55</definedName>
    <definedName name="ULine">CompanyProfile!$90:$90</definedName>
    <definedName name="V_Month">TaxCalculation!$C$109</definedName>
  </definedNames>
  <calcPr calcId="124519" iterate="1"/>
</workbook>
</file>

<file path=xl/calcChain.xml><?xml version="1.0" encoding="utf-8"?>
<calcChain xmlns="http://schemas.openxmlformats.org/spreadsheetml/2006/main">
  <c r="A2" i="82"/>
  <c r="R25" i="5"/>
  <c r="Q25"/>
  <c r="M25"/>
  <c r="L25"/>
  <c r="K25"/>
  <c r="J25"/>
  <c r="I25"/>
  <c r="H25"/>
  <c r="G25"/>
  <c r="F25"/>
  <c r="AE24"/>
  <c r="AE23"/>
  <c r="P23" s="1"/>
  <c r="O23"/>
  <c r="N23"/>
  <c r="AE22"/>
  <c r="P22" s="1"/>
  <c r="O22"/>
  <c r="N22"/>
  <c r="AE21"/>
  <c r="P21" s="1"/>
  <c r="O21"/>
  <c r="N21"/>
  <c r="AE20"/>
  <c r="P20" s="1"/>
  <c r="O20"/>
  <c r="N20"/>
  <c r="AE19"/>
  <c r="P19" s="1"/>
  <c r="O19"/>
  <c r="N19"/>
  <c r="AE18"/>
  <c r="P18" s="1"/>
  <c r="O18"/>
  <c r="N18"/>
  <c r="AE17"/>
  <c r="P17" s="1"/>
  <c r="O17"/>
  <c r="N17"/>
  <c r="AE16"/>
  <c r="P16" s="1"/>
  <c r="O16"/>
  <c r="N16"/>
  <c r="AE15"/>
  <c r="P15" s="1"/>
  <c r="O15"/>
  <c r="N15"/>
  <c r="AE14"/>
  <c r="P14" s="1"/>
  <c r="O14"/>
  <c r="N14"/>
  <c r="AE13"/>
  <c r="P13" s="1"/>
  <c r="O13"/>
  <c r="N13"/>
  <c r="AE12"/>
  <c r="P12" s="1"/>
  <c r="O12"/>
  <c r="N12"/>
  <c r="AE11"/>
  <c r="P11" s="1"/>
  <c r="O11"/>
  <c r="N11"/>
  <c r="AE10"/>
  <c r="P10" s="1"/>
  <c r="O10"/>
  <c r="N10"/>
  <c r="AE9"/>
  <c r="P9" s="1"/>
  <c r="O9"/>
  <c r="N9"/>
  <c r="AE8"/>
  <c r="P8" s="1"/>
  <c r="O8"/>
  <c r="N8"/>
  <c r="AE7"/>
  <c r="P7" s="1"/>
  <c r="O7"/>
  <c r="N7"/>
  <c r="AE6"/>
  <c r="P6" s="1"/>
  <c r="O6"/>
  <c r="N6"/>
  <c r="A1"/>
  <c r="Z55" i="110"/>
  <c r="Y55"/>
  <c r="X55"/>
  <c r="W55"/>
  <c r="V55"/>
  <c r="U55"/>
  <c r="T55"/>
  <c r="S55"/>
  <c r="R55"/>
  <c r="Q55"/>
  <c r="P55"/>
  <c r="O55"/>
  <c r="O50" s="1"/>
  <c r="P47"/>
  <c r="Q47" s="1"/>
  <c r="R47" s="1"/>
  <c r="S47" s="1"/>
  <c r="T47" s="1"/>
  <c r="U47" s="1"/>
  <c r="V47" s="1"/>
  <c r="W47" s="1"/>
  <c r="X47" s="1"/>
  <c r="Y47" s="1"/>
  <c r="Z47" s="1"/>
  <c r="R44"/>
  <c r="R43"/>
  <c r="S43" s="1"/>
  <c r="T43" s="1"/>
  <c r="U43" s="1"/>
  <c r="V43" s="1"/>
  <c r="W43" s="1"/>
  <c r="X43" s="1"/>
  <c r="Y43" s="1"/>
  <c r="Z43" s="1"/>
  <c r="P43"/>
  <c r="Q43" s="1"/>
  <c r="P42"/>
  <c r="Q42" s="1"/>
  <c r="R42" s="1"/>
  <c r="S42" s="1"/>
  <c r="T42" s="1"/>
  <c r="U42" s="1"/>
  <c r="V42" s="1"/>
  <c r="W42" s="1"/>
  <c r="X42" s="1"/>
  <c r="Y42" s="1"/>
  <c r="Z42" s="1"/>
  <c r="R41"/>
  <c r="S41" s="1"/>
  <c r="T41" s="1"/>
  <c r="U41" s="1"/>
  <c r="V41" s="1"/>
  <c r="W41" s="1"/>
  <c r="X41" s="1"/>
  <c r="Y41" s="1"/>
  <c r="Z41" s="1"/>
  <c r="P41"/>
  <c r="Q41" s="1"/>
  <c r="S40"/>
  <c r="T40" s="1"/>
  <c r="U40" s="1"/>
  <c r="V40" s="1"/>
  <c r="W40" s="1"/>
  <c r="X40" s="1"/>
  <c r="Y40" s="1"/>
  <c r="Z40" s="1"/>
  <c r="R40"/>
  <c r="P39"/>
  <c r="Q39" s="1"/>
  <c r="R39" s="1"/>
  <c r="S39" s="1"/>
  <c r="T39" s="1"/>
  <c r="U39" s="1"/>
  <c r="V39" s="1"/>
  <c r="W39" s="1"/>
  <c r="X39" s="1"/>
  <c r="Y39" s="1"/>
  <c r="Z39" s="1"/>
  <c r="Q38"/>
  <c r="R38" s="1"/>
  <c r="S38" s="1"/>
  <c r="T38" s="1"/>
  <c r="U38" s="1"/>
  <c r="V38" s="1"/>
  <c r="W38" s="1"/>
  <c r="X38" s="1"/>
  <c r="Y38" s="1"/>
  <c r="Z38" s="1"/>
  <c r="P38"/>
  <c r="P37"/>
  <c r="Q37" s="1"/>
  <c r="R37" s="1"/>
  <c r="S37" s="1"/>
  <c r="T37" s="1"/>
  <c r="U37" s="1"/>
  <c r="V37" s="1"/>
  <c r="W37" s="1"/>
  <c r="X37" s="1"/>
  <c r="Y37" s="1"/>
  <c r="Z37" s="1"/>
  <c r="Q36"/>
  <c r="R36" s="1"/>
  <c r="S36" s="1"/>
  <c r="T36" s="1"/>
  <c r="U36" s="1"/>
  <c r="V36" s="1"/>
  <c r="W36" s="1"/>
  <c r="X36" s="1"/>
  <c r="Y36" s="1"/>
  <c r="Z36" s="1"/>
  <c r="P36"/>
  <c r="P35"/>
  <c r="Q35" s="1"/>
  <c r="R35" s="1"/>
  <c r="S35" s="1"/>
  <c r="T35" s="1"/>
  <c r="U35" s="1"/>
  <c r="V35" s="1"/>
  <c r="W35" s="1"/>
  <c r="X35" s="1"/>
  <c r="Y35" s="1"/>
  <c r="Z35" s="1"/>
  <c r="Q34"/>
  <c r="R34" s="1"/>
  <c r="S34" s="1"/>
  <c r="T34" s="1"/>
  <c r="U34" s="1"/>
  <c r="V34" s="1"/>
  <c r="W34" s="1"/>
  <c r="X34" s="1"/>
  <c r="Y34" s="1"/>
  <c r="Z34" s="1"/>
  <c r="P34"/>
  <c r="P33"/>
  <c r="Q33" s="1"/>
  <c r="R33" s="1"/>
  <c r="S33" s="1"/>
  <c r="T33" s="1"/>
  <c r="U33" s="1"/>
  <c r="V33" s="1"/>
  <c r="W33" s="1"/>
  <c r="X33" s="1"/>
  <c r="Y33" s="1"/>
  <c r="Z33" s="1"/>
  <c r="Q32"/>
  <c r="R32" s="1"/>
  <c r="S32" s="1"/>
  <c r="T32" s="1"/>
  <c r="U32" s="1"/>
  <c r="V32" s="1"/>
  <c r="W32" s="1"/>
  <c r="X32" s="1"/>
  <c r="Y32" s="1"/>
  <c r="Z32" s="1"/>
  <c r="P32"/>
  <c r="P31"/>
  <c r="Q31" s="1"/>
  <c r="R31" s="1"/>
  <c r="S31" s="1"/>
  <c r="T31" s="1"/>
  <c r="U31" s="1"/>
  <c r="V31" s="1"/>
  <c r="W31" s="1"/>
  <c r="X31" s="1"/>
  <c r="Y31" s="1"/>
  <c r="Z31" s="1"/>
  <c r="Q30"/>
  <c r="R30" s="1"/>
  <c r="S30" s="1"/>
  <c r="T30" s="1"/>
  <c r="U30" s="1"/>
  <c r="V30" s="1"/>
  <c r="W30" s="1"/>
  <c r="X30" s="1"/>
  <c r="Y30" s="1"/>
  <c r="Z30" s="1"/>
  <c r="P30"/>
  <c r="Q29"/>
  <c r="R29" s="1"/>
  <c r="S29" s="1"/>
  <c r="T29" s="1"/>
  <c r="U29" s="1"/>
  <c r="V29" s="1"/>
  <c r="W29" s="1"/>
  <c r="X29" s="1"/>
  <c r="Y29" s="1"/>
  <c r="Z29" s="1"/>
  <c r="P29"/>
  <c r="P28"/>
  <c r="Q28" s="1"/>
  <c r="R28" s="1"/>
  <c r="S28" s="1"/>
  <c r="T28" s="1"/>
  <c r="U28" s="1"/>
  <c r="V28" s="1"/>
  <c r="W28" s="1"/>
  <c r="X28" s="1"/>
  <c r="Y28" s="1"/>
  <c r="Z28" s="1"/>
  <c r="Q27"/>
  <c r="R27" s="1"/>
  <c r="S27" s="1"/>
  <c r="T27" s="1"/>
  <c r="U27" s="1"/>
  <c r="V27" s="1"/>
  <c r="W27" s="1"/>
  <c r="X27" s="1"/>
  <c r="Y27" s="1"/>
  <c r="Z27" s="1"/>
  <c r="P27"/>
  <c r="Z20"/>
  <c r="Y20"/>
  <c r="X20"/>
  <c r="W20"/>
  <c r="V20"/>
  <c r="U20"/>
  <c r="T20"/>
  <c r="S20"/>
  <c r="R20"/>
  <c r="Z19"/>
  <c r="Y19"/>
  <c r="X19"/>
  <c r="W19"/>
  <c r="V19"/>
  <c r="U19"/>
  <c r="T19"/>
  <c r="S19"/>
  <c r="R19"/>
  <c r="R18"/>
  <c r="S18" s="1"/>
  <c r="T18" s="1"/>
  <c r="U18" s="1"/>
  <c r="V18" s="1"/>
  <c r="W18" s="1"/>
  <c r="X18" s="1"/>
  <c r="Y18" s="1"/>
  <c r="Z18" s="1"/>
  <c r="Z17"/>
  <c r="Y17"/>
  <c r="X17"/>
  <c r="W17"/>
  <c r="V17"/>
  <c r="U17"/>
  <c r="T17"/>
  <c r="S17"/>
  <c r="R17"/>
  <c r="R16"/>
  <c r="S16" s="1"/>
  <c r="T16" s="1"/>
  <c r="U16" s="1"/>
  <c r="V16" s="1"/>
  <c r="W16" s="1"/>
  <c r="X16" s="1"/>
  <c r="Y16" s="1"/>
  <c r="Z16" s="1"/>
  <c r="S15"/>
  <c r="T15" s="1"/>
  <c r="U15" s="1"/>
  <c r="V15" s="1"/>
  <c r="W15" s="1"/>
  <c r="X15" s="1"/>
  <c r="Y15" s="1"/>
  <c r="Z15" s="1"/>
  <c r="R15"/>
  <c r="Z14"/>
  <c r="Y14"/>
  <c r="X14"/>
  <c r="W14"/>
  <c r="V14"/>
  <c r="U14"/>
  <c r="T14"/>
  <c r="S14"/>
  <c r="R14"/>
  <c r="R13"/>
  <c r="S13" s="1"/>
  <c r="T13" s="1"/>
  <c r="U13" s="1"/>
  <c r="V13" s="1"/>
  <c r="W13" s="1"/>
  <c r="X13" s="1"/>
  <c r="Y13" s="1"/>
  <c r="Z13" s="1"/>
  <c r="Z70" i="9"/>
  <c r="X70"/>
  <c r="W2"/>
  <c r="A29" i="118"/>
  <c r="A4"/>
  <c r="A3" i="117"/>
  <c r="G38" i="115"/>
  <c r="F38"/>
  <c r="A23"/>
  <c r="G22"/>
  <c r="A22"/>
  <c r="G18"/>
  <c r="F18"/>
  <c r="A3"/>
  <c r="G2"/>
  <c r="A2"/>
  <c r="A3" i="11"/>
  <c r="A1"/>
  <c r="F27" i="110"/>
  <c r="H27" s="1"/>
  <c r="D28"/>
  <c r="F28" s="1"/>
  <c r="D29"/>
  <c r="F29" s="1"/>
  <c r="F30"/>
  <c r="F31"/>
  <c r="F32"/>
  <c r="F33"/>
  <c r="F34"/>
  <c r="F35"/>
  <c r="F36"/>
  <c r="F37"/>
  <c r="F38"/>
  <c r="F39"/>
  <c r="F43"/>
  <c r="H14"/>
  <c r="H17"/>
  <c r="H19"/>
  <c r="H20"/>
  <c r="H30"/>
  <c r="H31"/>
  <c r="H32"/>
  <c r="H33"/>
  <c r="H34"/>
  <c r="H35"/>
  <c r="H36"/>
  <c r="H37"/>
  <c r="H38"/>
  <c r="H39"/>
  <c r="H43"/>
  <c r="I30"/>
  <c r="I31"/>
  <c r="I32"/>
  <c r="I33"/>
  <c r="I34"/>
  <c r="I35"/>
  <c r="I36"/>
  <c r="I37"/>
  <c r="I38"/>
  <c r="I39"/>
  <c r="I43"/>
  <c r="I101"/>
  <c r="I95"/>
  <c r="I100"/>
  <c r="I99"/>
  <c r="I98"/>
  <c r="I97"/>
  <c r="I96"/>
  <c r="I90"/>
  <c r="E13"/>
  <c r="F13" s="1"/>
  <c r="E15"/>
  <c r="F15" s="1"/>
  <c r="E16"/>
  <c r="F16" s="1"/>
  <c r="E18"/>
  <c r="F18" s="1"/>
  <c r="E14"/>
  <c r="F14" s="1"/>
  <c r="I14" s="1"/>
  <c r="E17"/>
  <c r="F17" s="1"/>
  <c r="I17" s="1"/>
  <c r="E19"/>
  <c r="F19" s="1"/>
  <c r="I19" s="1"/>
  <c r="E20"/>
  <c r="F20" s="1"/>
  <c r="I20" s="1"/>
  <c r="F26"/>
  <c r="H26"/>
  <c r="I84"/>
  <c r="I89"/>
  <c r="I88"/>
  <c r="I87"/>
  <c r="I86"/>
  <c r="I85"/>
  <c r="I65"/>
  <c r="I59"/>
  <c r="I64"/>
  <c r="I63"/>
  <c r="I62"/>
  <c r="I61"/>
  <c r="I60"/>
  <c r="D112"/>
  <c r="J5" i="114"/>
  <c r="G3" i="115" s="1"/>
  <c r="D111" i="110"/>
  <c r="A23" i="3"/>
  <c r="C39"/>
  <c r="D39"/>
  <c r="E39"/>
  <c r="B39"/>
  <c r="C12"/>
  <c r="D12"/>
  <c r="E12"/>
  <c r="B12"/>
  <c r="G6" i="6"/>
  <c r="O6" s="1"/>
  <c r="A159" i="54"/>
  <c r="A128"/>
  <c r="G118"/>
  <c r="F118"/>
  <c r="A103"/>
  <c r="G102"/>
  <c r="A102"/>
  <c r="B8" i="110"/>
  <c r="E109"/>
  <c r="A11" s="1"/>
  <c r="A12"/>
  <c r="B13"/>
  <c r="AD13"/>
  <c r="AE13" s="1"/>
  <c r="AF13"/>
  <c r="AG13" s="1"/>
  <c r="AH13" s="1"/>
  <c r="AI13" s="1"/>
  <c r="AJ13" s="1"/>
  <c r="AK13" s="1"/>
  <c r="AL13" s="1"/>
  <c r="AM13" s="1"/>
  <c r="AN13" s="1"/>
  <c r="AO13" s="1"/>
  <c r="B14"/>
  <c r="AD14"/>
  <c r="AE14"/>
  <c r="AF14"/>
  <c r="AG14"/>
  <c r="AH14"/>
  <c r="AI14"/>
  <c r="AJ14"/>
  <c r="AK14"/>
  <c r="AL14"/>
  <c r="AM14"/>
  <c r="AN14"/>
  <c r="AO14"/>
  <c r="B15"/>
  <c r="AD15"/>
  <c r="AE15" s="1"/>
  <c r="AF15"/>
  <c r="AG15" s="1"/>
  <c r="AH15" s="1"/>
  <c r="AI15" s="1"/>
  <c r="AJ15" s="1"/>
  <c r="AK15" s="1"/>
  <c r="AL15" s="1"/>
  <c r="AM15" s="1"/>
  <c r="AN15" s="1"/>
  <c r="AO15" s="1"/>
  <c r="B16"/>
  <c r="AD16"/>
  <c r="AE16" s="1"/>
  <c r="AF16" s="1"/>
  <c r="AG16" s="1"/>
  <c r="AH16" s="1"/>
  <c r="AI16" s="1"/>
  <c r="AJ16" s="1"/>
  <c r="AK16" s="1"/>
  <c r="AL16" s="1"/>
  <c r="AM16" s="1"/>
  <c r="AN16" s="1"/>
  <c r="AO16" s="1"/>
  <c r="B17"/>
  <c r="AD17"/>
  <c r="AE17"/>
  <c r="AF17"/>
  <c r="AG17"/>
  <c r="AH17"/>
  <c r="AI17"/>
  <c r="AJ17"/>
  <c r="AK17"/>
  <c r="AL17"/>
  <c r="AM17"/>
  <c r="AN17"/>
  <c r="AO17"/>
  <c r="B18"/>
  <c r="AD18"/>
  <c r="AE18"/>
  <c r="AF18" s="1"/>
  <c r="AG18" s="1"/>
  <c r="AH18" s="1"/>
  <c r="AI18" s="1"/>
  <c r="AJ18" s="1"/>
  <c r="AK18" s="1"/>
  <c r="AL18" s="1"/>
  <c r="AM18" s="1"/>
  <c r="AN18" s="1"/>
  <c r="AO18" s="1"/>
  <c r="B19"/>
  <c r="AD19"/>
  <c r="AE19"/>
  <c r="AF19"/>
  <c r="AG19"/>
  <c r="AH19"/>
  <c r="AI19"/>
  <c r="AJ19"/>
  <c r="AK19"/>
  <c r="AL19"/>
  <c r="AM19"/>
  <c r="AN19"/>
  <c r="AO19"/>
  <c r="B20"/>
  <c r="AD20"/>
  <c r="AE20"/>
  <c r="AF20"/>
  <c r="AG20"/>
  <c r="AH20"/>
  <c r="AI20"/>
  <c r="AJ20"/>
  <c r="AK20"/>
  <c r="AL20"/>
  <c r="AM20"/>
  <c r="AN20"/>
  <c r="AO20"/>
  <c r="D24"/>
  <c r="I26"/>
  <c r="C27"/>
  <c r="AE27"/>
  <c r="AF27" s="1"/>
  <c r="AG27" s="1"/>
  <c r="AH27" s="1"/>
  <c r="AI27" s="1"/>
  <c r="AJ27" s="1"/>
  <c r="AK27" s="1"/>
  <c r="AL27" s="1"/>
  <c r="AM27" s="1"/>
  <c r="AN27" s="1"/>
  <c r="AO27" s="1"/>
  <c r="AE28"/>
  <c r="AF28" s="1"/>
  <c r="AG28" s="1"/>
  <c r="AH28" s="1"/>
  <c r="AI28" s="1"/>
  <c r="AJ28" s="1"/>
  <c r="AK28" s="1"/>
  <c r="AL28" s="1"/>
  <c r="AM28" s="1"/>
  <c r="AN28" s="1"/>
  <c r="AO28" s="1"/>
  <c r="AE29"/>
  <c r="AF29" s="1"/>
  <c r="AG29" s="1"/>
  <c r="AH29" s="1"/>
  <c r="AI29" s="1"/>
  <c r="AJ29" s="1"/>
  <c r="AK29" s="1"/>
  <c r="AL29" s="1"/>
  <c r="AM29" s="1"/>
  <c r="AN29" s="1"/>
  <c r="AO29" s="1"/>
  <c r="AE30"/>
  <c r="AF30" s="1"/>
  <c r="AG30" s="1"/>
  <c r="AH30" s="1"/>
  <c r="AI30" s="1"/>
  <c r="AJ30" s="1"/>
  <c r="AK30" s="1"/>
  <c r="AL30" s="1"/>
  <c r="AM30" s="1"/>
  <c r="AN30" s="1"/>
  <c r="AO30" s="1"/>
  <c r="AE31"/>
  <c r="AF31" s="1"/>
  <c r="AG31" s="1"/>
  <c r="AH31" s="1"/>
  <c r="AI31" s="1"/>
  <c r="AJ31" s="1"/>
  <c r="AK31" s="1"/>
  <c r="AL31" s="1"/>
  <c r="AM31" s="1"/>
  <c r="AN31" s="1"/>
  <c r="AO31" s="1"/>
  <c r="AE32"/>
  <c r="AF32" s="1"/>
  <c r="AG32" s="1"/>
  <c r="AH32" s="1"/>
  <c r="AI32" s="1"/>
  <c r="AJ32" s="1"/>
  <c r="AK32" s="1"/>
  <c r="AL32" s="1"/>
  <c r="AM32" s="1"/>
  <c r="AN32" s="1"/>
  <c r="AO32" s="1"/>
  <c r="AE33"/>
  <c r="AF33" s="1"/>
  <c r="AG33" s="1"/>
  <c r="AH33" s="1"/>
  <c r="AI33" s="1"/>
  <c r="AJ33" s="1"/>
  <c r="AK33" s="1"/>
  <c r="AL33" s="1"/>
  <c r="AM33" s="1"/>
  <c r="AN33" s="1"/>
  <c r="AO33" s="1"/>
  <c r="AE34"/>
  <c r="AF34" s="1"/>
  <c r="AG34" s="1"/>
  <c r="AH34" s="1"/>
  <c r="AI34" s="1"/>
  <c r="AJ34" s="1"/>
  <c r="AK34" s="1"/>
  <c r="AL34" s="1"/>
  <c r="AM34" s="1"/>
  <c r="AN34" s="1"/>
  <c r="AO34" s="1"/>
  <c r="AE35"/>
  <c r="AF35" s="1"/>
  <c r="AG35" s="1"/>
  <c r="AH35" s="1"/>
  <c r="AI35" s="1"/>
  <c r="AJ35" s="1"/>
  <c r="AK35" s="1"/>
  <c r="AL35" s="1"/>
  <c r="AM35" s="1"/>
  <c r="AN35" s="1"/>
  <c r="AO35" s="1"/>
  <c r="AE36"/>
  <c r="AF36" s="1"/>
  <c r="AG36" s="1"/>
  <c r="AH36" s="1"/>
  <c r="AI36" s="1"/>
  <c r="AJ36" s="1"/>
  <c r="AK36" s="1"/>
  <c r="AL36" s="1"/>
  <c r="AM36" s="1"/>
  <c r="AN36" s="1"/>
  <c r="AO36" s="1"/>
  <c r="AE37"/>
  <c r="AF37" s="1"/>
  <c r="AG37" s="1"/>
  <c r="AH37" s="1"/>
  <c r="AI37" s="1"/>
  <c r="AJ37" s="1"/>
  <c r="AK37" s="1"/>
  <c r="AL37" s="1"/>
  <c r="AM37" s="1"/>
  <c r="AN37" s="1"/>
  <c r="AO37" s="1"/>
  <c r="AE38"/>
  <c r="AF38" s="1"/>
  <c r="AG38" s="1"/>
  <c r="AH38" s="1"/>
  <c r="AI38" s="1"/>
  <c r="AJ38" s="1"/>
  <c r="AK38" s="1"/>
  <c r="AL38" s="1"/>
  <c r="AM38" s="1"/>
  <c r="AN38" s="1"/>
  <c r="AO38" s="1"/>
  <c r="AE39"/>
  <c r="AF39" s="1"/>
  <c r="AG39" s="1"/>
  <c r="AH39" s="1"/>
  <c r="AI39" s="1"/>
  <c r="AJ39" s="1"/>
  <c r="AK39" s="1"/>
  <c r="AL39" s="1"/>
  <c r="AM39" s="1"/>
  <c r="AN39" s="1"/>
  <c r="AO39" s="1"/>
  <c r="AE40"/>
  <c r="AF40" s="1"/>
  <c r="AG40" s="1"/>
  <c r="AH40" s="1"/>
  <c r="AI40" s="1"/>
  <c r="AJ40" s="1"/>
  <c r="AK40" s="1"/>
  <c r="AL40" s="1"/>
  <c r="AM40" s="1"/>
  <c r="AN40" s="1"/>
  <c r="AO40" s="1"/>
  <c r="AE41"/>
  <c r="AF41"/>
  <c r="AG41" s="1"/>
  <c r="AH41" s="1"/>
  <c r="AI41" s="1"/>
  <c r="AJ41" s="1"/>
  <c r="AK41" s="1"/>
  <c r="AL41" s="1"/>
  <c r="AM41" s="1"/>
  <c r="AN41" s="1"/>
  <c r="AO41" s="1"/>
  <c r="AE42"/>
  <c r="AF42" s="1"/>
  <c r="AG42" s="1"/>
  <c r="AH42" s="1"/>
  <c r="AI42" s="1"/>
  <c r="AJ42" s="1"/>
  <c r="AK42" s="1"/>
  <c r="AL42" s="1"/>
  <c r="AM42" s="1"/>
  <c r="AN42" s="1"/>
  <c r="AO42" s="1"/>
  <c r="AE43"/>
  <c r="AF43" s="1"/>
  <c r="AG43" s="1"/>
  <c r="AH43" s="1"/>
  <c r="AI43" s="1"/>
  <c r="AJ43" s="1"/>
  <c r="AK43" s="1"/>
  <c r="AL43" s="1"/>
  <c r="AM43" s="1"/>
  <c r="AN43" s="1"/>
  <c r="AO43" s="1"/>
  <c r="AE44"/>
  <c r="AF44" s="1"/>
  <c r="AG44" s="1"/>
  <c r="AH44" s="1"/>
  <c r="AI44" s="1"/>
  <c r="AJ44" s="1"/>
  <c r="AK44" s="1"/>
  <c r="AL44" s="1"/>
  <c r="AM44" s="1"/>
  <c r="AN44" s="1"/>
  <c r="AO44" s="1"/>
  <c r="AE47"/>
  <c r="AF47" s="1"/>
  <c r="AG47" s="1"/>
  <c r="AH47" s="1"/>
  <c r="AI47" s="1"/>
  <c r="AJ47" s="1"/>
  <c r="AK47" s="1"/>
  <c r="AL47" s="1"/>
  <c r="AM47" s="1"/>
  <c r="AN47" s="1"/>
  <c r="AO47" s="1"/>
  <c r="C55"/>
  <c r="C50" s="1"/>
  <c r="F50" s="1"/>
  <c r="K50"/>
  <c r="AD55"/>
  <c r="AD50" s="1"/>
  <c r="AE55"/>
  <c r="AF55"/>
  <c r="AG55"/>
  <c r="AH55"/>
  <c r="AI55"/>
  <c r="AJ55"/>
  <c r="AK55"/>
  <c r="AL55"/>
  <c r="AM55"/>
  <c r="AN55"/>
  <c r="AO55"/>
  <c r="A110"/>
  <c r="A111" s="1"/>
  <c r="A112" s="1"/>
  <c r="A113" s="1"/>
  <c r="A114" s="1"/>
  <c r="A1" i="82"/>
  <c r="F3"/>
  <c r="G3"/>
  <c r="H3"/>
  <c r="I3"/>
  <c r="J3"/>
  <c r="K3"/>
  <c r="L3"/>
  <c r="M3"/>
  <c r="N3"/>
  <c r="O3"/>
  <c r="P3"/>
  <c r="Q3"/>
  <c r="R3"/>
  <c r="S3"/>
  <c r="T3"/>
  <c r="A3" i="114"/>
  <c r="I3"/>
  <c r="A5"/>
  <c r="A8"/>
  <c r="D11"/>
  <c r="D12"/>
  <c r="D13" s="1"/>
  <c r="D14" s="1"/>
  <c r="B15" s="1"/>
  <c r="D16"/>
  <c r="B3" i="3"/>
  <c r="E3"/>
  <c r="F4"/>
  <c r="B5"/>
  <c r="F5"/>
  <c r="B7"/>
  <c r="B34" s="1"/>
  <c r="C7"/>
  <c r="C34" s="1"/>
  <c r="D7"/>
  <c r="D34" s="1"/>
  <c r="E7"/>
  <c r="E34" s="1"/>
  <c r="B9"/>
  <c r="C9"/>
  <c r="D9"/>
  <c r="E9"/>
  <c r="B10"/>
  <c r="B37" s="1"/>
  <c r="C10"/>
  <c r="C37" s="1"/>
  <c r="D10"/>
  <c r="D37" s="1"/>
  <c r="E10"/>
  <c r="E37" s="1"/>
  <c r="B15"/>
  <c r="C15"/>
  <c r="D15"/>
  <c r="E15"/>
  <c r="E21"/>
  <c r="E22"/>
  <c r="B23"/>
  <c r="C23"/>
  <c r="E23"/>
  <c r="B30"/>
  <c r="E30"/>
  <c r="F31"/>
  <c r="A32"/>
  <c r="B32"/>
  <c r="F32"/>
  <c r="B35"/>
  <c r="C35"/>
  <c r="D35"/>
  <c r="E35"/>
  <c r="B36"/>
  <c r="C36"/>
  <c r="D36"/>
  <c r="E36"/>
  <c r="B38"/>
  <c r="C38"/>
  <c r="D38"/>
  <c r="E38"/>
  <c r="B40"/>
  <c r="C40"/>
  <c r="D40"/>
  <c r="E40"/>
  <c r="B41"/>
  <c r="C41"/>
  <c r="D41"/>
  <c r="E41"/>
  <c r="B42"/>
  <c r="C42"/>
  <c r="D42"/>
  <c r="E42"/>
  <c r="E48"/>
  <c r="E49"/>
  <c r="A50"/>
  <c r="B50"/>
  <c r="C50"/>
  <c r="E50"/>
  <c r="G1" i="6"/>
  <c r="O1" s="1"/>
  <c r="G3"/>
  <c r="O3" s="1"/>
  <c r="B4"/>
  <c r="J4" s="1"/>
  <c r="B5"/>
  <c r="J5" s="1"/>
  <c r="B7"/>
  <c r="J7" s="1"/>
  <c r="B9"/>
  <c r="J9" s="1"/>
  <c r="L9"/>
  <c r="E11"/>
  <c r="M11" s="1"/>
  <c r="F11"/>
  <c r="N11" s="1"/>
  <c r="N23" s="1"/>
  <c r="G11"/>
  <c r="G23" s="1"/>
  <c r="D25" s="1"/>
  <c r="A29"/>
  <c r="I29" s="1"/>
  <c r="F29"/>
  <c r="N29" s="1"/>
  <c r="G29"/>
  <c r="O29" s="1"/>
  <c r="E30"/>
  <c r="M30" s="1"/>
  <c r="I30"/>
  <c r="E36"/>
  <c r="M36" s="1"/>
  <c r="B1" i="84"/>
  <c r="B2"/>
  <c r="C6"/>
  <c r="D6"/>
  <c r="E6"/>
  <c r="F6"/>
  <c r="G6"/>
  <c r="H6"/>
  <c r="I6"/>
  <c r="J6"/>
  <c r="C7"/>
  <c r="D7"/>
  <c r="K7" s="1"/>
  <c r="E7"/>
  <c r="E8"/>
  <c r="F7"/>
  <c r="G7"/>
  <c r="G10" s="1"/>
  <c r="G8"/>
  <c r="H7"/>
  <c r="I7"/>
  <c r="I8"/>
  <c r="J7"/>
  <c r="J10" s="1"/>
  <c r="C8"/>
  <c r="C10" s="1"/>
  <c r="D8"/>
  <c r="F8"/>
  <c r="F10" s="1"/>
  <c r="H8"/>
  <c r="J8"/>
  <c r="K9"/>
  <c r="C14"/>
  <c r="D14"/>
  <c r="E14"/>
  <c r="J14"/>
  <c r="C15"/>
  <c r="C16"/>
  <c r="D15"/>
  <c r="E15"/>
  <c r="J15"/>
  <c r="E16"/>
  <c r="D16"/>
  <c r="J16"/>
  <c r="K17"/>
  <c r="F18"/>
  <c r="G18"/>
  <c r="H18"/>
  <c r="I18"/>
  <c r="A1" i="60"/>
  <c r="N6"/>
  <c r="AE6"/>
  <c r="P6" s="1"/>
  <c r="N8"/>
  <c r="O8"/>
  <c r="AE8"/>
  <c r="P8" s="1"/>
  <c r="S8" s="1"/>
  <c r="T8" s="1"/>
  <c r="N9"/>
  <c r="AE9"/>
  <c r="P9" s="1"/>
  <c r="N10"/>
  <c r="O10"/>
  <c r="AE10"/>
  <c r="P10" s="1"/>
  <c r="N11"/>
  <c r="O11"/>
  <c r="AE11"/>
  <c r="P11" s="1"/>
  <c r="S11" s="1"/>
  <c r="N12"/>
  <c r="O12"/>
  <c r="AE12"/>
  <c r="P12" s="1"/>
  <c r="N13"/>
  <c r="O13"/>
  <c r="AE13"/>
  <c r="P13" s="1"/>
  <c r="S13" s="1"/>
  <c r="N14"/>
  <c r="O14"/>
  <c r="AE14"/>
  <c r="P14" s="1"/>
  <c r="N15"/>
  <c r="AE15"/>
  <c r="P15" s="1"/>
  <c r="N16"/>
  <c r="O16"/>
  <c r="AE16"/>
  <c r="P16" s="1"/>
  <c r="N17"/>
  <c r="AE17"/>
  <c r="P17" s="1"/>
  <c r="N18"/>
  <c r="O18"/>
  <c r="AE18"/>
  <c r="P18" s="1"/>
  <c r="S18" s="1"/>
  <c r="T18" s="1"/>
  <c r="N19"/>
  <c r="O19"/>
  <c r="AE19"/>
  <c r="P19" s="1"/>
  <c r="S19" s="1"/>
  <c r="T19" s="1"/>
  <c r="N20"/>
  <c r="AE20"/>
  <c r="P20" s="1"/>
  <c r="N21"/>
  <c r="AE21"/>
  <c r="P21" s="1"/>
  <c r="N22"/>
  <c r="O22"/>
  <c r="AE22"/>
  <c r="P22" s="1"/>
  <c r="N23"/>
  <c r="AE23"/>
  <c r="P23" s="1"/>
  <c r="S23" s="1"/>
  <c r="T23" s="1"/>
  <c r="N24"/>
  <c r="AE24"/>
  <c r="P24" s="1"/>
  <c r="N25"/>
  <c r="O25"/>
  <c r="AE25"/>
  <c r="P25" s="1"/>
  <c r="S25" s="1"/>
  <c r="N26"/>
  <c r="O26"/>
  <c r="AE26"/>
  <c r="P26" s="1"/>
  <c r="S26" s="1"/>
  <c r="T26" s="1"/>
  <c r="N27"/>
  <c r="O27"/>
  <c r="AE27"/>
  <c r="P27" s="1"/>
  <c r="S27" s="1"/>
  <c r="T27" s="1"/>
  <c r="AE28"/>
  <c r="F29"/>
  <c r="G29"/>
  <c r="H29"/>
  <c r="I29"/>
  <c r="Q29"/>
  <c r="R29"/>
  <c r="A2" i="109"/>
  <c r="B2"/>
  <c r="C2"/>
  <c r="D2"/>
  <c r="A3"/>
  <c r="B3"/>
  <c r="C3"/>
  <c r="D3"/>
  <c r="H3"/>
  <c r="A4"/>
  <c r="B4"/>
  <c r="C4"/>
  <c r="D4"/>
  <c r="H4"/>
  <c r="A5"/>
  <c r="B5"/>
  <c r="C5"/>
  <c r="D5"/>
  <c r="H5"/>
  <c r="A6"/>
  <c r="B6"/>
  <c r="C6"/>
  <c r="D6"/>
  <c r="H6"/>
  <c r="A7"/>
  <c r="B7"/>
  <c r="C7"/>
  <c r="D7"/>
  <c r="H7"/>
  <c r="A8"/>
  <c r="B8"/>
  <c r="C8"/>
  <c r="D8"/>
  <c r="H8"/>
  <c r="A9"/>
  <c r="B9"/>
  <c r="C9"/>
  <c r="D9"/>
  <c r="H9"/>
  <c r="A10"/>
  <c r="B10"/>
  <c r="C10"/>
  <c r="D10"/>
  <c r="H10"/>
  <c r="A11"/>
  <c r="B11"/>
  <c r="C11"/>
  <c r="D11"/>
  <c r="H11"/>
  <c r="A12"/>
  <c r="B12"/>
  <c r="C12"/>
  <c r="D12"/>
  <c r="H12"/>
  <c r="A13"/>
  <c r="B13"/>
  <c r="C13"/>
  <c r="D13"/>
  <c r="H13"/>
  <c r="A14"/>
  <c r="B14"/>
  <c r="C14"/>
  <c r="D14"/>
  <c r="H14"/>
  <c r="A15"/>
  <c r="B15"/>
  <c r="C15"/>
  <c r="D15"/>
  <c r="H15"/>
  <c r="A16"/>
  <c r="B16"/>
  <c r="C16"/>
  <c r="D16"/>
  <c r="H16"/>
  <c r="A17"/>
  <c r="B17"/>
  <c r="C17"/>
  <c r="D17"/>
  <c r="H17"/>
  <c r="A18"/>
  <c r="B18"/>
  <c r="C18"/>
  <c r="D18"/>
  <c r="H18"/>
  <c r="A19"/>
  <c r="B19"/>
  <c r="C19"/>
  <c r="D19"/>
  <c r="H19"/>
  <c r="A20"/>
  <c r="B20"/>
  <c r="C20"/>
  <c r="D20"/>
  <c r="H20"/>
  <c r="A21"/>
  <c r="B21"/>
  <c r="C21"/>
  <c r="D21"/>
  <c r="H21"/>
  <c r="A22"/>
  <c r="B22"/>
  <c r="C22"/>
  <c r="D22"/>
  <c r="H22"/>
  <c r="A23"/>
  <c r="B23"/>
  <c r="C23"/>
  <c r="D23"/>
  <c r="H23"/>
  <c r="A24"/>
  <c r="B24"/>
  <c r="C24"/>
  <c r="D24"/>
  <c r="H24"/>
  <c r="A25"/>
  <c r="B25"/>
  <c r="C25"/>
  <c r="D25"/>
  <c r="H25"/>
  <c r="A26"/>
  <c r="B26"/>
  <c r="C26"/>
  <c r="D26"/>
  <c r="H26"/>
  <c r="A27"/>
  <c r="B27"/>
  <c r="C27"/>
  <c r="D27"/>
  <c r="H27"/>
  <c r="A28"/>
  <c r="B28"/>
  <c r="C28"/>
  <c r="D28"/>
  <c r="H28"/>
  <c r="A29"/>
  <c r="B29"/>
  <c r="C29"/>
  <c r="D29"/>
  <c r="H29"/>
  <c r="A30"/>
  <c r="B30"/>
  <c r="C30"/>
  <c r="D30"/>
  <c r="H30"/>
  <c r="A31"/>
  <c r="B31"/>
  <c r="C31"/>
  <c r="D31"/>
  <c r="H31"/>
  <c r="A32"/>
  <c r="B32"/>
  <c r="C32"/>
  <c r="D32"/>
  <c r="H32"/>
  <c r="A33"/>
  <c r="B33"/>
  <c r="C33"/>
  <c r="D33"/>
  <c r="H33"/>
  <c r="A34"/>
  <c r="B34"/>
  <c r="C34"/>
  <c r="D34"/>
  <c r="H34"/>
  <c r="A35"/>
  <c r="B35"/>
  <c r="C35"/>
  <c r="D35"/>
  <c r="H35"/>
  <c r="A36"/>
  <c r="B36"/>
  <c r="C36"/>
  <c r="D36"/>
  <c r="H36"/>
  <c r="A37"/>
  <c r="B37"/>
  <c r="C37"/>
  <c r="D37"/>
  <c r="H37"/>
  <c r="A38"/>
  <c r="B38"/>
  <c r="C38"/>
  <c r="D38"/>
  <c r="H38"/>
  <c r="A39"/>
  <c r="B39"/>
  <c r="C39"/>
  <c r="D39"/>
  <c r="H39"/>
  <c r="A40"/>
  <c r="B40"/>
  <c r="C40"/>
  <c r="D40"/>
  <c r="H40"/>
  <c r="A41"/>
  <c r="B41"/>
  <c r="C41"/>
  <c r="D41"/>
  <c r="H41"/>
  <c r="A42"/>
  <c r="B42"/>
  <c r="C42"/>
  <c r="D42"/>
  <c r="H42"/>
  <c r="A43"/>
  <c r="B43"/>
  <c r="C43"/>
  <c r="D43"/>
  <c r="H43"/>
  <c r="A44"/>
  <c r="B44"/>
  <c r="C44"/>
  <c r="D44"/>
  <c r="H44"/>
  <c r="A45"/>
  <c r="B45"/>
  <c r="C45"/>
  <c r="D45"/>
  <c r="H45"/>
  <c r="A46"/>
  <c r="B46"/>
  <c r="C46"/>
  <c r="D46"/>
  <c r="H46"/>
  <c r="A47"/>
  <c r="B47"/>
  <c r="C47"/>
  <c r="D47"/>
  <c r="H47"/>
  <c r="A48"/>
  <c r="B48"/>
  <c r="C48"/>
  <c r="D48"/>
  <c r="H48"/>
  <c r="A49"/>
  <c r="B49"/>
  <c r="C49"/>
  <c r="D49"/>
  <c r="H49"/>
  <c r="A50"/>
  <c r="B50"/>
  <c r="C50"/>
  <c r="D50"/>
  <c r="H50"/>
  <c r="A51"/>
  <c r="B51"/>
  <c r="C51"/>
  <c r="D51"/>
  <c r="H51"/>
  <c r="A52"/>
  <c r="B52"/>
  <c r="C52"/>
  <c r="D52"/>
  <c r="H52"/>
  <c r="A53"/>
  <c r="B53"/>
  <c r="C53"/>
  <c r="D53"/>
  <c r="H53"/>
  <c r="A54"/>
  <c r="B54"/>
  <c r="C54"/>
  <c r="D54"/>
  <c r="H54"/>
  <c r="A55"/>
  <c r="B55"/>
  <c r="C55"/>
  <c r="D55"/>
  <c r="H55"/>
  <c r="A56"/>
  <c r="B56"/>
  <c r="C56"/>
  <c r="D56"/>
  <c r="H56"/>
  <c r="A57"/>
  <c r="B57"/>
  <c r="C57"/>
  <c r="D57"/>
  <c r="H57"/>
  <c r="A58"/>
  <c r="B58"/>
  <c r="C58"/>
  <c r="D58"/>
  <c r="H58"/>
  <c r="A59"/>
  <c r="B59"/>
  <c r="C59"/>
  <c r="D59"/>
  <c r="H59"/>
  <c r="A60"/>
  <c r="B60"/>
  <c r="C60"/>
  <c r="D60"/>
  <c r="H60"/>
  <c r="A61"/>
  <c r="B61"/>
  <c r="C61"/>
  <c r="D61"/>
  <c r="H61"/>
  <c r="A62"/>
  <c r="B62"/>
  <c r="C62"/>
  <c r="D62"/>
  <c r="H62"/>
  <c r="A63"/>
  <c r="B63"/>
  <c r="C63"/>
  <c r="D63"/>
  <c r="H63"/>
  <c r="A64"/>
  <c r="B64"/>
  <c r="C64"/>
  <c r="D64"/>
  <c r="H64"/>
  <c r="A65"/>
  <c r="B65"/>
  <c r="C65"/>
  <c r="D65"/>
  <c r="H65"/>
  <c r="A66"/>
  <c r="B66"/>
  <c r="C66"/>
  <c r="D66"/>
  <c r="H66"/>
  <c r="A67"/>
  <c r="B67"/>
  <c r="C67"/>
  <c r="D67"/>
  <c r="H67"/>
  <c r="A68"/>
  <c r="B68"/>
  <c r="C68"/>
  <c r="D68"/>
  <c r="H68"/>
  <c r="A69"/>
  <c r="B69"/>
  <c r="C69"/>
  <c r="D69"/>
  <c r="H69"/>
  <c r="A70"/>
  <c r="B70"/>
  <c r="C70"/>
  <c r="D70"/>
  <c r="H70"/>
  <c r="A71"/>
  <c r="B71"/>
  <c r="C71"/>
  <c r="D71"/>
  <c r="H71"/>
  <c r="A72"/>
  <c r="B72"/>
  <c r="C72"/>
  <c r="D72"/>
  <c r="H72"/>
  <c r="A73"/>
  <c r="B73"/>
  <c r="C73"/>
  <c r="D73"/>
  <c r="H73"/>
  <c r="A74"/>
  <c r="B74"/>
  <c r="C74"/>
  <c r="D74"/>
  <c r="H74"/>
  <c r="A75"/>
  <c r="B75"/>
  <c r="C75"/>
  <c r="D75"/>
  <c r="H75"/>
  <c r="A76"/>
  <c r="B76"/>
  <c r="C76"/>
  <c r="D76"/>
  <c r="H76"/>
  <c r="A77"/>
  <c r="B77"/>
  <c r="C77"/>
  <c r="D77"/>
  <c r="H77"/>
  <c r="A78"/>
  <c r="B78"/>
  <c r="C78"/>
  <c r="D78"/>
  <c r="H78"/>
  <c r="A79"/>
  <c r="B79"/>
  <c r="C79"/>
  <c r="D79"/>
  <c r="H79"/>
  <c r="A80"/>
  <c r="B80"/>
  <c r="C80"/>
  <c r="D80"/>
  <c r="H80"/>
  <c r="A81"/>
  <c r="B81"/>
  <c r="C81"/>
  <c r="D81"/>
  <c r="H81"/>
  <c r="A82"/>
  <c r="B82"/>
  <c r="C82"/>
  <c r="D82"/>
  <c r="H82"/>
  <c r="A83"/>
  <c r="B83"/>
  <c r="C83"/>
  <c r="D83"/>
  <c r="H83"/>
  <c r="A84"/>
  <c r="B84"/>
  <c r="C84"/>
  <c r="D84"/>
  <c r="H84"/>
  <c r="A85"/>
  <c r="B85"/>
  <c r="C85"/>
  <c r="D85"/>
  <c r="H85"/>
  <c r="A86"/>
  <c r="B86"/>
  <c r="C86"/>
  <c r="D86"/>
  <c r="H86"/>
  <c r="A87"/>
  <c r="B87"/>
  <c r="C87"/>
  <c r="D87"/>
  <c r="H87"/>
  <c r="A88"/>
  <c r="B88"/>
  <c r="C88"/>
  <c r="D88"/>
  <c r="H88"/>
  <c r="A89"/>
  <c r="B89"/>
  <c r="C89"/>
  <c r="D89"/>
  <c r="H89"/>
  <c r="A90"/>
  <c r="B90"/>
  <c r="C90"/>
  <c r="D90"/>
  <c r="H90"/>
  <c r="A91"/>
  <c r="B91"/>
  <c r="C91"/>
  <c r="D91"/>
  <c r="H91"/>
  <c r="A92"/>
  <c r="B92"/>
  <c r="C92"/>
  <c r="D92"/>
  <c r="H92"/>
  <c r="A93"/>
  <c r="B93"/>
  <c r="C93"/>
  <c r="D93"/>
  <c r="H93"/>
  <c r="A94"/>
  <c r="B94"/>
  <c r="C94"/>
  <c r="D94"/>
  <c r="H94"/>
  <c r="A95"/>
  <c r="B95"/>
  <c r="C95"/>
  <c r="D95"/>
  <c r="H95"/>
  <c r="A96"/>
  <c r="B96"/>
  <c r="C96"/>
  <c r="D96"/>
  <c r="H96"/>
  <c r="A97"/>
  <c r="B97"/>
  <c r="C97"/>
  <c r="D97"/>
  <c r="H97"/>
  <c r="A98"/>
  <c r="B98"/>
  <c r="C98"/>
  <c r="D98"/>
  <c r="H98"/>
  <c r="A99"/>
  <c r="B99"/>
  <c r="C99"/>
  <c r="D99"/>
  <c r="H99"/>
  <c r="A100"/>
  <c r="B100"/>
  <c r="C100"/>
  <c r="D100"/>
  <c r="H100"/>
  <c r="A101"/>
  <c r="B101"/>
  <c r="C101"/>
  <c r="D101"/>
  <c r="H101"/>
  <c r="A102"/>
  <c r="B102"/>
  <c r="C102"/>
  <c r="D102"/>
  <c r="H102"/>
  <c r="A103"/>
  <c r="B103"/>
  <c r="C103"/>
  <c r="D103"/>
  <c r="H103"/>
  <c r="A104"/>
  <c r="B104"/>
  <c r="C104"/>
  <c r="D104"/>
  <c r="H104"/>
  <c r="A105"/>
  <c r="B105"/>
  <c r="C105"/>
  <c r="D105"/>
  <c r="H105"/>
  <c r="A106"/>
  <c r="B106"/>
  <c r="C106"/>
  <c r="D106"/>
  <c r="H106"/>
  <c r="A107"/>
  <c r="B107"/>
  <c r="C107"/>
  <c r="D107"/>
  <c r="H107"/>
  <c r="A108"/>
  <c r="B108"/>
  <c r="C108"/>
  <c r="D108"/>
  <c r="H108"/>
  <c r="A109"/>
  <c r="B109"/>
  <c r="C109"/>
  <c r="D109"/>
  <c r="H109"/>
  <c r="A110"/>
  <c r="B110"/>
  <c r="C110"/>
  <c r="D110"/>
  <c r="H110"/>
  <c r="A111"/>
  <c r="B111"/>
  <c r="C111"/>
  <c r="D111"/>
  <c r="H111"/>
  <c r="A112"/>
  <c r="B112"/>
  <c r="C112"/>
  <c r="D112"/>
  <c r="H112"/>
  <c r="A113"/>
  <c r="B113"/>
  <c r="C113"/>
  <c r="D113"/>
  <c r="H113"/>
  <c r="A114"/>
  <c r="B114"/>
  <c r="C114"/>
  <c r="D114"/>
  <c r="H114"/>
  <c r="A115"/>
  <c r="B115"/>
  <c r="C115"/>
  <c r="D115"/>
  <c r="H115"/>
  <c r="A116"/>
  <c r="B116"/>
  <c r="C116"/>
  <c r="D116"/>
  <c r="H116"/>
  <c r="A117"/>
  <c r="B117"/>
  <c r="C117"/>
  <c r="D117"/>
  <c r="H117"/>
  <c r="A118"/>
  <c r="B118"/>
  <c r="C118"/>
  <c r="D118"/>
  <c r="H118"/>
  <c r="Q2" i="4"/>
  <c r="R2"/>
  <c r="S2"/>
  <c r="T2"/>
  <c r="A50" i="54"/>
  <c r="A52"/>
  <c r="W63"/>
  <c r="C1" i="8"/>
  <c r="L17" i="84"/>
  <c r="E22" i="110"/>
  <c r="C18" i="84"/>
  <c r="D18"/>
  <c r="I10"/>
  <c r="E10"/>
  <c r="O29" i="60"/>
  <c r="J29"/>
  <c r="D10" i="84"/>
  <c r="O11" i="6"/>
  <c r="O23" s="1"/>
  <c r="L25" s="1"/>
  <c r="K29" i="60"/>
  <c r="AE7"/>
  <c r="P7" s="1"/>
  <c r="S7" s="1"/>
  <c r="M29"/>
  <c r="L29"/>
  <c r="N7"/>
  <c r="F9" i="3" l="1"/>
  <c r="N29" i="60"/>
  <c r="T11"/>
  <c r="T7"/>
  <c r="T25"/>
  <c r="F23" i="6"/>
  <c r="S15" i="60"/>
  <c r="T15" s="1"/>
  <c r="F42" i="3"/>
  <c r="F15"/>
  <c r="D114" i="110"/>
  <c r="T2" i="5" s="1"/>
  <c r="F30" i="3" s="1"/>
  <c r="G23" i="115"/>
  <c r="T13" i="60"/>
  <c r="S10"/>
  <c r="T10" s="1"/>
  <c r="G103" i="54"/>
  <c r="S9" i="60"/>
  <c r="T9" s="1"/>
  <c r="S21"/>
  <c r="T21" s="1"/>
  <c r="S17"/>
  <c r="T17" s="1"/>
  <c r="E18" i="84"/>
  <c r="D40" i="110"/>
  <c r="E21"/>
  <c r="S22" i="60"/>
  <c r="T22" s="1"/>
  <c r="S12"/>
  <c r="T12" s="1"/>
  <c r="J18" i="84"/>
  <c r="AE50" i="110"/>
  <c r="K8" i="84"/>
  <c r="K10" s="1"/>
  <c r="S24" i="60"/>
  <c r="T24" s="1"/>
  <c r="S16"/>
  <c r="T16" s="1"/>
  <c r="K16" i="84"/>
  <c r="I27" i="110"/>
  <c r="S44"/>
  <c r="T44" s="1"/>
  <c r="U44" s="1"/>
  <c r="V44" s="1"/>
  <c r="W44" s="1"/>
  <c r="X44" s="1"/>
  <c r="Y44" s="1"/>
  <c r="Z44" s="1"/>
  <c r="P50"/>
  <c r="Q50" s="1"/>
  <c r="R50" s="1"/>
  <c r="S50" s="1"/>
  <c r="N25" i="5"/>
  <c r="S12"/>
  <c r="T12" s="1"/>
  <c r="S14"/>
  <c r="T14" s="1"/>
  <c r="S16"/>
  <c r="T16" s="1"/>
  <c r="S18"/>
  <c r="T18" s="1"/>
  <c r="S20"/>
  <c r="T20" s="1"/>
  <c r="S22"/>
  <c r="T22" s="1"/>
  <c r="S6"/>
  <c r="T6" s="1"/>
  <c r="S8"/>
  <c r="T8" s="1"/>
  <c r="P25"/>
  <c r="S7"/>
  <c r="T7" s="1"/>
  <c r="S9"/>
  <c r="T9" s="1"/>
  <c r="S10"/>
  <c r="T10" s="1"/>
  <c r="S11"/>
  <c r="T11" s="1"/>
  <c r="S13"/>
  <c r="T13" s="1"/>
  <c r="S15"/>
  <c r="T15" s="1"/>
  <c r="S17"/>
  <c r="T17" s="1"/>
  <c r="S19"/>
  <c r="T19" s="1"/>
  <c r="S21"/>
  <c r="T21" s="1"/>
  <c r="S23"/>
  <c r="T23" s="1"/>
  <c r="O25"/>
  <c r="T50" i="110"/>
  <c r="U50" s="1"/>
  <c r="V50" s="1"/>
  <c r="W50" s="1"/>
  <c r="X50" s="1"/>
  <c r="Y50" s="1"/>
  <c r="Z50" s="1"/>
  <c r="F36" i="3"/>
  <c r="K15" i="84"/>
  <c r="H10"/>
  <c r="H28" i="110"/>
  <c r="I28"/>
  <c r="H29"/>
  <c r="I29"/>
  <c r="S20" i="60"/>
  <c r="T20" s="1"/>
  <c r="S14"/>
  <c r="T14" s="1"/>
  <c r="L15" i="84"/>
  <c r="S6" i="60"/>
  <c r="P29"/>
  <c r="A115" i="110"/>
  <c r="A116" s="1"/>
  <c r="A117" s="1"/>
  <c r="A118" s="1"/>
  <c r="A119" s="1"/>
  <c r="A120" s="1"/>
  <c r="D109"/>
  <c r="AF50"/>
  <c r="AG50" s="1"/>
  <c r="AH50" s="1"/>
  <c r="AI50" s="1"/>
  <c r="AJ50" s="1"/>
  <c r="AK50" s="1"/>
  <c r="AL50" s="1"/>
  <c r="AM50" s="1"/>
  <c r="AN50" s="1"/>
  <c r="AO50" s="1"/>
  <c r="I16"/>
  <c r="H16"/>
  <c r="H13"/>
  <c r="J41"/>
  <c r="F41" s="1"/>
  <c r="J42"/>
  <c r="F42" s="1"/>
  <c r="I13"/>
  <c r="I18"/>
  <c r="H18"/>
  <c r="H15"/>
  <c r="I15"/>
  <c r="F22" i="3" l="1"/>
  <c r="F49"/>
  <c r="A2" i="5"/>
  <c r="F3" i="3"/>
  <c r="T2" i="60"/>
  <c r="A2" s="1"/>
  <c r="L18" i="84"/>
  <c r="K18"/>
  <c r="L16"/>
  <c r="D44" i="110"/>
  <c r="F44" s="1"/>
  <c r="T25" i="5"/>
  <c r="S25"/>
  <c r="F40" i="110"/>
  <c r="F23"/>
  <c r="H42"/>
  <c r="I42"/>
  <c r="T6" i="60"/>
  <c r="T29" s="1"/>
  <c r="S29"/>
  <c r="I41" i="110"/>
  <c r="H41"/>
  <c r="I44" l="1"/>
  <c r="H44"/>
  <c r="I23"/>
  <c r="I24" s="1"/>
  <c r="H23"/>
  <c r="H24" s="1"/>
  <c r="F24"/>
  <c r="H40"/>
  <c r="I40"/>
  <c r="F25" l="1"/>
  <c r="F45" l="1"/>
  <c r="F46" s="1"/>
  <c r="I25"/>
  <c r="I45" s="1"/>
  <c r="I46" s="1"/>
  <c r="H25"/>
  <c r="H45" s="1"/>
  <c r="H46" s="1"/>
  <c r="J47" l="1"/>
  <c r="F47" s="1"/>
  <c r="H47" l="1"/>
  <c r="H48" s="1"/>
  <c r="D91" s="1"/>
  <c r="I47"/>
  <c r="I48" s="1"/>
  <c r="D102" s="1"/>
  <c r="F48"/>
  <c r="D66" s="1"/>
  <c r="D58" l="1"/>
  <c r="F58" s="1"/>
  <c r="D83"/>
  <c r="F83" s="1"/>
  <c r="D94"/>
  <c r="F94" s="1"/>
  <c r="D95" l="1"/>
  <c r="F95" s="1"/>
  <c r="D84"/>
  <c r="F84" s="1"/>
  <c r="D59"/>
  <c r="D85"/>
  <c r="F85" s="1"/>
  <c r="D97" l="1"/>
  <c r="F97" s="1"/>
  <c r="D96"/>
  <c r="F96" s="1"/>
  <c r="D86"/>
  <c r="F86" s="1"/>
  <c r="F59"/>
  <c r="D60"/>
  <c r="D98" l="1"/>
  <c r="D99" s="1"/>
  <c r="D87"/>
  <c r="F87" s="1"/>
  <c r="F60"/>
  <c r="D61"/>
  <c r="F98"/>
  <c r="D88" l="1"/>
  <c r="F88" s="1"/>
  <c r="D62"/>
  <c r="F61"/>
  <c r="F99"/>
  <c r="D100"/>
  <c r="F100" s="1"/>
  <c r="D89" l="1"/>
  <c r="D90" s="1"/>
  <c r="F90" s="1"/>
  <c r="F62"/>
  <c r="D63"/>
  <c r="F63" s="1"/>
  <c r="D101"/>
  <c r="F101" s="1"/>
  <c r="F102" s="1"/>
  <c r="I49" s="1"/>
  <c r="F89" l="1"/>
  <c r="F91" s="1"/>
  <c r="H49" s="1"/>
  <c r="D64"/>
  <c r="F64" s="1"/>
  <c r="D65" l="1"/>
  <c r="F65" s="1"/>
  <c r="F66" s="1"/>
  <c r="F49" s="1"/>
  <c r="F51" s="1"/>
  <c r="A51" s="1"/>
  <c r="C8" l="1"/>
  <c r="I54"/>
  <c r="F54" s="1"/>
  <c r="H53"/>
  <c r="F53" s="1"/>
  <c r="F55" l="1"/>
</calcChain>
</file>

<file path=xl/comments1.xml><?xml version="1.0" encoding="utf-8"?>
<comments xmlns="http://schemas.openxmlformats.org/spreadsheetml/2006/main">
  <authors>
    <author>New</author>
    <author>Worawuth</author>
  </authors>
  <commentList>
    <comment ref="A13" authorId="0">
      <text>
        <r>
          <rPr>
            <b/>
            <sz val="8"/>
            <color indexed="81"/>
            <rFont val="Tahoma"/>
            <family val="2"/>
          </rPr>
          <t>1=รายได้ประจำ
2=รายได้ไม่ประจำ</t>
        </r>
      </text>
    </comment>
    <comment ref="N27" authorId="1">
      <text>
        <r>
          <rPr>
            <b/>
            <sz val="8"/>
            <color indexed="81"/>
            <rFont val="MS Sans Serif"/>
            <family val="2"/>
            <charset val="222"/>
          </rPr>
          <t>1=โสด
2=หย่า/หม้าย
3=คู่สมรสไม่มีรายได้
4=คุ่สมรสมีรายได้</t>
        </r>
      </text>
    </comment>
  </commentList>
</comments>
</file>

<file path=xl/sharedStrings.xml><?xml version="1.0" encoding="utf-8"?>
<sst xmlns="http://schemas.openxmlformats.org/spreadsheetml/2006/main" count="1719" uniqueCount="557">
  <si>
    <t>แบบรายการแสดงการส่งเงินสมทบ</t>
  </si>
  <si>
    <t>สปส.1-10 ส่วนที่ 1</t>
  </si>
  <si>
    <t>ชื่อสาขา(ถ้ามี)</t>
  </si>
  <si>
    <t>สาขา  000000</t>
  </si>
  <si>
    <t>สำหรับเจ้าหน้าที่สำนักงานประกันสังคม</t>
  </si>
  <si>
    <t>ชำระเงินวันที่……………………………………………..</t>
  </si>
  <si>
    <t xml:space="preserve">เงินเพิ่ม(ถ้ามี)………………………...บาท…………..สตางค์                                 </t>
  </si>
  <si>
    <t>1.</t>
  </si>
  <si>
    <t>เงินค่าจ้างทั้งสิ้น</t>
  </si>
  <si>
    <t>ใบเสร็จรับเงินเล่มที่………………….เลขที่……………………….</t>
  </si>
  <si>
    <t>2.</t>
  </si>
  <si>
    <t>เงินสมทบผู้ประกันตน</t>
  </si>
  <si>
    <t>ลงชื่อ………………………………………………………………………..</t>
  </si>
  <si>
    <t>3.</t>
  </si>
  <si>
    <t>เงินสมทบนายจ้าง</t>
  </si>
  <si>
    <t xml:space="preserve">          (………………………………………………………………)</t>
  </si>
  <si>
    <t>4.</t>
  </si>
  <si>
    <t>รวมเงินสมทบที่นำส่งทั้งสิ้น</t>
  </si>
  <si>
    <t>สำหรับเจ้าหน้าที่ธนาคาร</t>
  </si>
  <si>
    <t>5.</t>
  </si>
  <si>
    <t>จำนวนผู้ประกันตนที่ส่งเงินสมทบ</t>
  </si>
  <si>
    <t>คน</t>
  </si>
  <si>
    <t>ใบนำฝากและใบเสร็จรับเงินเล่มที่……………...เลขที่……………………..</t>
  </si>
  <si>
    <t>ข้าพเจ้าขอรับรองว่ารายการที่แจ้งไว้เป็นรายการที่ถูกต้องครบถ้วนและเป็นจริงทุกประการ</t>
  </si>
  <si>
    <t>ประทับตราธนาคาร</t>
  </si>
  <si>
    <t>พร้อมนี้ได้แนบ</t>
  </si>
  <si>
    <t>รายละเอียดการนำส่งเงินสมทบ</t>
  </si>
  <si>
    <t>จำนวน        2       แผ่น    หรือ</t>
  </si>
  <si>
    <t>แผ่นจานแม่เหล็ก</t>
  </si>
  <si>
    <t xml:space="preserve">จำนวน                 แผ่น    ขนาด      นิ้ว หรือ  </t>
  </si>
  <si>
    <t xml:space="preserve">          (……………………………………………………………...)</t>
  </si>
  <si>
    <t>เทปแม่เหล็ก</t>
  </si>
  <si>
    <t xml:space="preserve">จำนวน                 ตลับ    ขนาด        นิ้ว   </t>
  </si>
  <si>
    <t>ลงชื่อ</t>
  </si>
  <si>
    <t>ผู้นำส่งเงิน</t>
  </si>
  <si>
    <t>ตำแหน่ง</t>
  </si>
  <si>
    <t xml:space="preserve">            ผู้รับมอบอำนาจ</t>
  </si>
  <si>
    <t>สปส.1-10 ส่วนที่ 2</t>
  </si>
  <si>
    <t xml:space="preserve">เลขที่บัญชี   </t>
  </si>
  <si>
    <t>สาขา</t>
  </si>
  <si>
    <t xml:space="preserve">ลำดับที่  </t>
  </si>
  <si>
    <t>คำนำหน้าชื่อ</t>
  </si>
  <si>
    <t xml:space="preserve"> ( 0.50  สต.ขึ้นไปคิดเป็น 1 บ )</t>
  </si>
  <si>
    <t>หมายเหตุ</t>
  </si>
  <si>
    <t xml:space="preserve">3.เงินสมทบผู้ประกันตนแต่ละคน หากมีเศษตั้งแต่ 50 สต.ขึ้นไปให้ปัดเป็น 1 บาท ถ้าน้อยกว่า 50 สต.ให้ปัดทิ้ง </t>
  </si>
  <si>
    <t>นายจ้าง/ผู้รับมอบอำนาจ</t>
  </si>
  <si>
    <t>ชื่อสถานประกอบการ</t>
  </si>
  <si>
    <r>
      <t xml:space="preserve">                                         </t>
    </r>
    <r>
      <rPr>
        <b/>
        <sz val="16"/>
        <rFont val="BrowalliaUPC"/>
        <family val="2"/>
        <charset val="222"/>
      </rPr>
      <t xml:space="preserve"> รายละเอียดการนำส่งเงินสมทบ</t>
    </r>
  </si>
  <si>
    <r>
      <t xml:space="preserve">1.กรณ๊ลูกจ้างเข้าใหม่ให้ยื่นแบบสปส.1-03 หรือ สปส.6-08 โดยตรงหรือทางไปรษณีย์ ณ สำนักงานประกันสังคมในท้องที่ที่สถานประกอบการตั้งอยู่                         </t>
    </r>
    <r>
      <rPr>
        <sz val="14"/>
        <rFont val="BrowalliaUPC"/>
        <family val="2"/>
        <charset val="222"/>
      </rPr>
      <t>รวม</t>
    </r>
  </si>
  <si>
    <r>
      <t xml:space="preserve">2.กรอกจำนวนค่าจ้างที่จ่ายจริงแต่ไม่ต่ำกว่า 1,650 บ.และไม่เกิน 15,000 บ.ถ้าต่ำกว่า 1,650 บ.ให้กรอก 1,650บ. ถ้าได้รับเกิน 15,000 บ. ให้กรอก 15,000 บ.         </t>
    </r>
    <r>
      <rPr>
        <sz val="14"/>
        <rFont val="BrowalliaUPC"/>
        <family val="2"/>
        <charset val="222"/>
      </rPr>
      <t>ลงชื่อ</t>
    </r>
  </si>
  <si>
    <t>ลำดับที่</t>
  </si>
  <si>
    <t>ค่าล่วงเวลา</t>
  </si>
  <si>
    <t>รวมรับ</t>
  </si>
  <si>
    <t>ภาษีเงินได้</t>
  </si>
  <si>
    <t>เงินกองทุน</t>
  </si>
  <si>
    <t>อื่น ๆ</t>
  </si>
  <si>
    <t>รับสุทธิ</t>
  </si>
  <si>
    <t>หัก ณ ที่จ่าย</t>
  </si>
  <si>
    <t>ประกันสังคม</t>
  </si>
  <si>
    <t>ใบรับเงินเดือน  /  PAY SLIP</t>
  </si>
  <si>
    <t>รวมรายได้</t>
  </si>
  <si>
    <t>SALARY / WAGE</t>
  </si>
  <si>
    <t>OVERTIME</t>
  </si>
  <si>
    <t>TOTAL INCOME</t>
  </si>
  <si>
    <t>เงินประกันสังคม</t>
  </si>
  <si>
    <t>รวมรายการหัก</t>
  </si>
  <si>
    <t>TOTAL DEDUCTION</t>
  </si>
  <si>
    <t>รายได้สะสม</t>
  </si>
  <si>
    <t>ภาษีสะสม</t>
  </si>
  <si>
    <t>ID. TAX</t>
  </si>
  <si>
    <t>รายได้สุทธิ</t>
  </si>
  <si>
    <t>YTD. TAX</t>
  </si>
  <si>
    <t>NET PAID</t>
  </si>
  <si>
    <t>Bank A/C No.</t>
  </si>
  <si>
    <t>รหัสพนักงาน / EMP. No</t>
  </si>
  <si>
    <t>หนังสือรับรองการหักภาษี  ณ  ที่จ่าย</t>
  </si>
  <si>
    <t>(ฉบับที่ 1 สำหรับผู้ถูกหัก ณ ที่จ่าย ใช้แนบพร้อมกับแบบแสดงรายการภาษี)</t>
  </si>
  <si>
    <t>(ฉบับที่ 2 สำหรับผู้ถูกหัก ณ ที่จ่าย เก็บไว้เป็นหลักฐาน)</t>
  </si>
  <si>
    <t>ผู้มีหน้าที่หักภาษี  ณ  ที่จ่าย  :</t>
  </si>
  <si>
    <t>เลขประจำตัวผู้เสียภาษีอากร</t>
  </si>
  <si>
    <t>ชื่อ</t>
  </si>
  <si>
    <t>ที่อยู่</t>
  </si>
  <si>
    <t>ผู้ถูกหักภาษี  ณ  ที่จ่าย  :</t>
  </si>
  <si>
    <t>ในแบบ</t>
  </si>
  <si>
    <t>ประเภทเงินได้ที่จ่าย</t>
  </si>
  <si>
    <t>วัน เดือน ปี
 ปีภาษีที่จ่าย</t>
  </si>
  <si>
    <t>จำนวนเงิน
ที่จ่าย</t>
  </si>
  <si>
    <t>ภาษีที่หัก
และนำส่งไว้</t>
  </si>
  <si>
    <t>1.  เงินเดือน  ค่าจ้าง  เบี้ยเลี้ยง  โบนัส  ฯลฯ  ตามมาตรา  40 (1)</t>
  </si>
  <si>
    <t>2.  ค่าธรรมเนียม  ค่านายหน้า  ฯลฯ  ตามมาตรา  40 (2)</t>
  </si>
  <si>
    <t>3.  ค่าแห่งลิขสิทธิ์  ฯลฯ  ตามมาตรา  40 (3)</t>
  </si>
  <si>
    <t>4.  (1)  ค่าดอกเบี้ย  ฯลฯ  ตามมาตรา  40 (4)  (ก)</t>
  </si>
  <si>
    <t xml:space="preserve">     (2)  เงินปันผล  เงินส่วนแบ่งกำไร  ฯลฯ  ตามมาตรา  40 (4)  (ข)  </t>
  </si>
  <si>
    <t>5.  การจ่ายเงินได้ที่ต้องหักภาษี  ณ  ที่จ่ายตามคำสั่งกรมสรรพากร</t>
  </si>
  <si>
    <t xml:space="preserve">     ที่ออกตามมาตรา  3  เตรส  เช่น  ค่าซื้อพืชผลทางเกษตร  </t>
  </si>
  <si>
    <t xml:space="preserve">     (ยางพารา  มันสำปะหลัง  ปอ  ข้าว  ฯลฯ)  รางวัลในการประกวด</t>
  </si>
  <si>
    <t xml:space="preserve">      การแข่งขัน  การชิงโชค  ค่าแสดงภาพยนต์  ร้องเพลง  ดนตรี</t>
  </si>
  <si>
    <t xml:space="preserve">      ค่าจ้างทำของ  ค่าจ้างโฆษณา  ค่าเช่า  ฯลฯ</t>
  </si>
  <si>
    <t>6.  อื่น  ๆ  (ระบุ)</t>
  </si>
  <si>
    <t>รวมเงินที่จ่ายและภาษีที่หักนำส่ง</t>
  </si>
  <si>
    <t>รวมเงินภาษีที่หักนำส่ง  (ตัวอักษร)</t>
  </si>
  <si>
    <t>ปีนี้หักเงินเข้ากองทุนซึ่งมีสิทธิหักลดหย่อนได้  ดังนี้</t>
  </si>
  <si>
    <t>เลขที่บัตรประกันสังคม</t>
  </si>
  <si>
    <t>เลขที่บัญชีนายจ้าง</t>
  </si>
  <si>
    <t>ของผู้ถูกหักภาษี ณ ที่จ่าย</t>
  </si>
  <si>
    <t>ผู้จ่ายเงิน</t>
  </si>
  <si>
    <t>หักภาษี ณ ที่จ่าย</t>
  </si>
  <si>
    <t xml:space="preserve">         ขอรับรองว่าข้อความและตัวเลขดังกล่าวข้างต้นถูกต้องตรงกับความจริงทุกประการ</t>
  </si>
  <si>
    <t>ออกภาษีให้ตลอดไป</t>
  </si>
  <si>
    <t>ออกภาษีให้ครั้งเดียว</t>
  </si>
  <si>
    <t>(ลงชื่อ)</t>
  </si>
  <si>
    <t>อื่น ๆ ระบุ</t>
  </si>
  <si>
    <t>วัน เดือน ปี ที่ออกหนังสือรับรอง</t>
  </si>
  <si>
    <t>หมายเหตุ ให้สามารถอ้างอิงหรือสอบยันกันได้ระหว่างลำดับที่ตามหนังสือรับรองฯ กับแบบยื่นรายการหักภาษี ณ ที่จ่าย</t>
  </si>
  <si>
    <r>
      <t>ตามมาตรา  50 ทวิ  แห่งประมวลรัษฎากร</t>
    </r>
    <r>
      <rPr>
        <sz val="14"/>
        <rFont val="Cordia New"/>
        <family val="2"/>
        <charset val="222"/>
      </rPr>
      <t xml:space="preserve">         </t>
    </r>
  </si>
  <si>
    <t>ภงด.1 ก</t>
  </si>
  <si>
    <t>2.  เงินสะสมจ่ายเข้ากองทุนสำรองเลี้ยงชีพ ใบอนุญาตเลขที่             -------</t>
  </si>
  <si>
    <t>ID.No.</t>
  </si>
  <si>
    <t xml:space="preserve">     (2)  เงินปันผล  เงินส่วนแบ่งกำไร  ฯลฯ  ตามมาตรา  40 (4)  (ข) </t>
  </si>
  <si>
    <t>(ของผู้มีหน้าที่หักภาษี ณ ที่จ่าย)</t>
  </si>
  <si>
    <t xml:space="preserve">ใบต่อ </t>
  </si>
  <si>
    <t>(1) อัตราก้าวหน้า</t>
  </si>
  <si>
    <t>(2) อัตราร้อยละ 15</t>
  </si>
  <si>
    <t>ลำดับ</t>
  </si>
  <si>
    <t>เลขประจำตัวประชาชน(ของผู้มีเงินได้)</t>
  </si>
  <si>
    <t>วัน เดือน ปี</t>
  </si>
  <si>
    <t>รายการลดหย่อน</t>
  </si>
  <si>
    <t>ประเภทเงินได้พึงประเมินที่จ่าย (รวมทั้งประโยชน์เพิ่มอย่างอื่น)</t>
  </si>
  <si>
    <t>รวมเงินภาษีที่หักและนำส่ง</t>
  </si>
  <si>
    <t>ที่</t>
  </si>
  <si>
    <t>เลขประจำตัวผู้เสียภาษีอากร(ของผู้มีเงินได้</t>
  </si>
  <si>
    <t>ที่เข้าทำงาน</t>
  </si>
  <si>
    <t>มีสามี</t>
  </si>
  <si>
    <t>จำนวนบุตร</t>
  </si>
  <si>
    <t>ค่าลดหย่อนอื่น ๆ</t>
  </si>
  <si>
    <t>ถ้ามากกว่าหนึ่งประเภทให้กรอกเรียงลงไป</t>
  </si>
  <si>
    <t>ในครั้งนี้</t>
  </si>
  <si>
    <t>(เฉพาะกรณีเข้า</t>
  </si>
  <si>
    <t>ภรรยา</t>
  </si>
  <si>
    <t>ศึกษา</t>
  </si>
  <si>
    <t>ไม่ศึกษา</t>
  </si>
  <si>
    <t>ประเภทเงินได้</t>
  </si>
  <si>
    <t>จำนวนคราว</t>
  </si>
  <si>
    <t>จำนวนเงินที่จ่าย</t>
  </si>
  <si>
    <t>ชื่อผู้มีเงินได้</t>
  </si>
  <si>
    <t>ทำงานระหว่างปี)</t>
  </si>
  <si>
    <t>หรือไม่</t>
  </si>
  <si>
    <t>จำนวนเงิน</t>
  </si>
  <si>
    <t>ที่เสมือนหนึ่ง</t>
  </si>
  <si>
    <t>แต่ละประเภทในครั้งนี้</t>
  </si>
  <si>
    <t>เงื่อน</t>
  </si>
  <si>
    <t>บาท</t>
  </si>
  <si>
    <t>สต.</t>
  </si>
  <si>
    <t>จ่ายทั้งปี</t>
  </si>
  <si>
    <t>ไข</t>
  </si>
  <si>
    <t>-</t>
  </si>
  <si>
    <t>รวมยอดเงินได้และภาษีที่นำส่ง</t>
  </si>
  <si>
    <t>บุตรเรียน</t>
  </si>
  <si>
    <t>บุตรไม่เรียน</t>
  </si>
  <si>
    <t xml:space="preserve"> เบี้ยประกันชีวิตผู้มีเงินได้</t>
  </si>
  <si>
    <t>เบี้ยประกันชีวิตคู่สมรส</t>
  </si>
  <si>
    <t xml:space="preserve"> ค่าซื้อหน่วยลงทุน RMF</t>
  </si>
  <si>
    <t>ดอกเบี้ยเงินกู้บ้าน</t>
  </si>
  <si>
    <t>เงินบริจาค</t>
  </si>
  <si>
    <t>รหัสพนักงานเริ่มต้น</t>
  </si>
  <si>
    <t>รหัสพนักงานสิ้นสุด</t>
  </si>
  <si>
    <t>คำนำหน้า</t>
  </si>
  <si>
    <t>สกุล</t>
  </si>
  <si>
    <t>เลขที่บัญชี</t>
  </si>
  <si>
    <t>OTHER</t>
  </si>
  <si>
    <t>OTHER INCOME</t>
  </si>
  <si>
    <t>TAX CODE
1=โสด
2=หย่า/หม้าย
3=คู่สมรสไม่มีรายได้
4=คุ่สมรสมีรายได้</t>
  </si>
  <si>
    <t xml:space="preserve"> ค่าซื้อหน่วยลงทุน LTF</t>
  </si>
  <si>
    <t>นาย</t>
  </si>
  <si>
    <t>ข้อมุล</t>
  </si>
  <si>
    <t>รายการ</t>
  </si>
  <si>
    <t>เลขประจำตัวประกันสังคมนายจ้าง</t>
  </si>
  <si>
    <t>Bank</t>
  </si>
  <si>
    <t>รายได้</t>
  </si>
  <si>
    <t>รายการหัก</t>
  </si>
  <si>
    <t>รหัส</t>
  </si>
  <si>
    <t>ภาษีหัก ณ ที่จ่าย</t>
  </si>
  <si>
    <t>เงินสำรองเลี้ยงชีพ</t>
  </si>
  <si>
    <t>สำรองเลี้ยงชีพ</t>
  </si>
  <si>
    <t>นามสกุล</t>
  </si>
  <si>
    <t>คำนำ</t>
  </si>
  <si>
    <t>หน้า</t>
  </si>
  <si>
    <t>อัตราเงินประกันสังคม</t>
  </si>
  <si>
    <t>เลขประจำตัวประชาชน</t>
  </si>
  <si>
    <t>YTD. INCOME</t>
  </si>
  <si>
    <t>SOCIAL SEC FUND</t>
  </si>
  <si>
    <t xml:space="preserve">                                   (ลงชื่อ)                                </t>
  </si>
  <si>
    <t>ธนาคาร</t>
  </si>
  <si>
    <t>ภงด.1</t>
  </si>
  <si>
    <t>รหัส
พนักงาน</t>
  </si>
  <si>
    <t>แฟ้มประกันสังคม</t>
  </si>
  <si>
    <t>EmpCount</t>
  </si>
  <si>
    <t>Grand Total</t>
  </si>
  <si>
    <t>Total</t>
  </si>
  <si>
    <t>รายละเอียดประกอบการจ่ายเงินเดือนพนักงาน</t>
  </si>
  <si>
    <t>วันที่ออกใบรับรองหักภาษี ณ ที่จ่าย</t>
  </si>
  <si>
    <t>PROVIDENT FUND</t>
  </si>
  <si>
    <t>ตำแหน่งงาน</t>
  </si>
  <si>
    <t>ระดับพนักงาน</t>
  </si>
  <si>
    <t>วัน/เดือน/ปีเกิด</t>
  </si>
  <si>
    <t>อายุ/ปี</t>
  </si>
  <si>
    <t>วันเข้างาน</t>
  </si>
  <si>
    <t>วันลาออก</t>
  </si>
  <si>
    <t>M=Male
F=Female</t>
  </si>
  <si>
    <t>F</t>
  </si>
  <si>
    <t>รวมทั้งสิ้น</t>
  </si>
  <si>
    <t>เงินสมทบ</t>
  </si>
  <si>
    <t>ธนาคาร/BANK :</t>
  </si>
  <si>
    <t>เลขที่บัญชี/ACCOUNT NO. :</t>
  </si>
  <si>
    <t>Office</t>
  </si>
  <si>
    <t>รหัสพนักงาน / EMP. No :</t>
  </si>
  <si>
    <t>สำนักงาน/OFFICE :</t>
  </si>
  <si>
    <t>รหัสหน่วยงาน</t>
  </si>
  <si>
    <t>ลงชื่อ....................................................................ผู้จ่ายเงิน</t>
  </si>
  <si>
    <t>ตำแหน่ง.............................................................................</t>
  </si>
  <si>
    <t>ยื่นวันที่ .................เดือน...........................พ.ศ.....................</t>
  </si>
  <si>
    <t>มี</t>
  </si>
  <si>
    <t>รายได้ประจำ</t>
  </si>
  <si>
    <t>เพื่อการคำนวณ</t>
  </si>
  <si>
    <t>ชื่อ-ไทย</t>
  </si>
  <si>
    <t>ชื่อ-อังกฤษ</t>
  </si>
  <si>
    <t>นาง</t>
  </si>
  <si>
    <t>BONUS</t>
  </si>
  <si>
    <t xml:space="preserve"> INCOME TAX</t>
  </si>
  <si>
    <t>บิดา - คู่สมรส</t>
  </si>
  <si>
    <t>มารดา - คู่สมรส</t>
  </si>
  <si>
    <t>บิดา - ผู้มีเงินได้</t>
  </si>
  <si>
    <t>มารดา - ผู้มีเงินได้</t>
  </si>
  <si>
    <t>การคำนวณภาษีเงินได้บุคคลธรรมดาหัก ณ ที่จ่าย</t>
  </si>
  <si>
    <t>ประจำเดือน</t>
  </si>
  <si>
    <t>ยอดสะสมถึงเดือนก่อน</t>
  </si>
  <si>
    <t>เดือนนี้</t>
  </si>
  <si>
    <t>เดือน</t>
  </si>
  <si>
    <t>เงินได้รวมทั้งปี</t>
  </si>
  <si>
    <t>รายได้ประจำทั้งปี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</si>
  <si>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</si>
  <si>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</si>
  <si>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</si>
  <si>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</si>
  <si>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</si>
  <si>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</si>
  <si>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</si>
  <si>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</si>
  <si>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</si>
  <si>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</si>
  <si>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</si>
  <si>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</si>
  <si>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ภาษีออกให้-ค่าบ้านพัก</t>
  </si>
  <si>
    <t>ภาษีออกให้-ทั้งหมด</t>
  </si>
  <si>
    <t>หัก</t>
  </si>
  <si>
    <t>เงินสะสมกองทุนเลี้ยงชีพส่วนเกิน 10,000 บาท</t>
  </si>
  <si>
    <t>ค่าใช้จ่าย 40% ไม่เกิน 60,000 บาท</t>
  </si>
  <si>
    <t>ค่าลดหย่อน ผู้มีเงินได้</t>
  </si>
  <si>
    <t>ค่าลดหย่อน คู่สมรส</t>
  </si>
  <si>
    <t>Tax Code</t>
  </si>
  <si>
    <t>ค่าลดหย่อน บุตรไม่เรียน</t>
  </si>
  <si>
    <t>ค่าลดหย่อน บุตรเรียน</t>
  </si>
  <si>
    <t>ค่าลดหย่อน ผู้มีเงินได้ - บิดา (30,000 บาท)</t>
  </si>
  <si>
    <t>ค่าลดหย่อน ผู้มีเงินได้ - มารดา (30,000 บาท)</t>
  </si>
  <si>
    <t>ค่าลดหย่อน คู่สมรส - บิดา (30,000 บาท)</t>
  </si>
  <si>
    <t>ค่าลดหย่อน คู่สมรส - มารดา (30,000 บาท)</t>
  </si>
  <si>
    <t>ค่าลดหย่อน เบี้ยประกันชีวิตผู้มีเงินได้</t>
  </si>
  <si>
    <t>จ่ายจริงทั้งปี</t>
  </si>
  <si>
    <t>ค่าลดหย่อน เบี้ยประกันชีวิตคู่สมรส</t>
  </si>
  <si>
    <t>ค่าลดหย่อน เงินสะสมกองทุนเลี้ยงชีพ</t>
  </si>
  <si>
    <t>ค่าลดหย่อน ค่าซื้อหน่วยลงทุน RMF</t>
  </si>
  <si>
    <t>ค่าลดหย่อน ค่าซื้อหน่วยลงทุน LTF</t>
  </si>
  <si>
    <t>ค่าลดหย่อน ดอกเบี้ยเงินกู้บ้าน</t>
  </si>
  <si>
    <t>ค่าลดหย่อน เงินประกันสังคม</t>
  </si>
  <si>
    <t>รวมค่าใช้จ่ายและค่าลดหย่อน</t>
  </si>
  <si>
    <t>คงเหลือ</t>
  </si>
  <si>
    <t xml:space="preserve">เงินบริจาคตามจริงไม่เกิน 10% </t>
  </si>
  <si>
    <t>เงินได้พึงประเมินสุทธิ</t>
  </si>
  <si>
    <t>ภาษีเงินได้ทั้งปี</t>
  </si>
  <si>
    <t>ภาษีเงินได้หัก ณ ที่จ่ายสะสม</t>
  </si>
  <si>
    <t>ภาษีหัก ณ ที่จ่าย (รายได้ประจำ) ต่อ เดือน</t>
  </si>
  <si>
    <t>รวม ภาษีหัก ณ ที่จ่าย ต่อ เดือน</t>
  </si>
  <si>
    <t>ขั้นเงินได้สุทธิตั้งแต่</t>
  </si>
  <si>
    <t>เงินได้แต่ละขั้น</t>
  </si>
  <si>
    <t>อัตราภาษี</t>
  </si>
  <si>
    <t xml:space="preserve">4,000,000 บาทขึ้นไป       </t>
  </si>
  <si>
    <t>รวม</t>
  </si>
  <si>
    <t>May</t>
  </si>
  <si>
    <t>ค่าลดหย่อน ผู้มีเงินได้ - บิดา เบี้ยประกันสุขภาพ</t>
  </si>
  <si>
    <t>ค่าลดหย่อน ผู้มีเงินได้ - มารดา เบี้ยประกันสุขภาพ</t>
  </si>
  <si>
    <t>ค่าลดหย่อน คู่สมรส - บิดา เบี้ยประกันสุขภาพ</t>
  </si>
  <si>
    <t>ค่าลดหย่อน คู่สมรส - มารดา เบี้ยประกันสุขภาพ</t>
  </si>
  <si>
    <t>ค่าลดหย่อนสูงสุด</t>
  </si>
  <si>
    <t>Jan</t>
  </si>
  <si>
    <t>Feb</t>
  </si>
  <si>
    <t>Mar</t>
  </si>
  <si>
    <t>Apr</t>
  </si>
  <si>
    <t>Jun</t>
  </si>
  <si>
    <t>Jul</t>
  </si>
  <si>
    <t>Aug</t>
  </si>
  <si>
    <t>Sep</t>
  </si>
  <si>
    <t>Oct</t>
  </si>
  <si>
    <t>Nov</t>
  </si>
  <si>
    <t>Dec</t>
  </si>
  <si>
    <t>เบี้ยประกัน บิดา - ผู้มีเงินได้</t>
  </si>
  <si>
    <t>เบี้ยประกัน มารดา - ผู้มีเงินได้</t>
  </si>
  <si>
    <t>เบี้ยประกัน บิดา - คู่สมรส</t>
  </si>
  <si>
    <t>เบี้ยประกัน มารดา - คู่สมรส</t>
  </si>
  <si>
    <t>วันที่จ่ายเงินเดือน</t>
  </si>
  <si>
    <t>รายได้ประจำทั้งปี
+ รายได้ไม่ประจำ</t>
  </si>
  <si>
    <t>ภาษีหัก ณ ที่จ่าย (รายได้ไม่ประจำ) ต่อ เดือน</t>
  </si>
  <si>
    <t>คำนวณจาก</t>
  </si>
  <si>
    <t>รายได้ไม่ประจำ</t>
  </si>
  <si>
    <t>EmpCount2</t>
  </si>
  <si>
    <t>รวมค่าหักลดหย่อน</t>
  </si>
  <si>
    <t>เดือนที่ประมวลผลภาษีและเงินเดือน</t>
  </si>
  <si>
    <t>วิธีการตั้งค่าเริ่มต้น</t>
  </si>
  <si>
    <t>วิธีการทำงานประจำเดือน</t>
  </si>
  <si>
    <t>วิธีการทำงานเมื่อเริ่มปีใหม่</t>
  </si>
  <si>
    <t>เลขที่ใบรับรองหักภาษี ณ ที่จ่าย</t>
  </si>
  <si>
    <t>เลขประจำตัวประชาชน/ID Card :</t>
  </si>
  <si>
    <t>เงินเดือน</t>
  </si>
  <si>
    <t>รวมหัก</t>
  </si>
  <si>
    <t>RENTAL</t>
  </si>
  <si>
    <t>สำนักงาน</t>
  </si>
  <si>
    <t>รายรับ</t>
  </si>
  <si>
    <t>สุทธิ</t>
  </si>
  <si>
    <t>ผู้อนุมัติ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</si>
  <si>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</si>
  <si>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</si>
  <si>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</si>
  <si>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</si>
  <si>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</si>
  <si>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</si>
  <si>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</si>
  <si>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</si>
  <si>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</si>
  <si>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</si>
  <si>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</si>
  <si>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</si>
  <si>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ปีที่ประมวลผลภาษีและเงินเดือน (พ.ศ.)</t>
  </si>
  <si>
    <t>Sheet "CompanyProfile" เติมข้อมูลต่างๆ ตามที่กำหนด เช่น ชื่อ ที่อยู่ เลขประจำตัวผู้เสียภาษีอากร ฯลฯ</t>
  </si>
  <si>
    <t>Sheet "Employee" และ Sheet "Employee2" แก้ไข เพิ่มเติม ข้อมูลพนักงานทั้งหมด เช่นรหัสพนักงาน ประวัติพนักงาน เลขที่บัญชีธนาคาร สถานะภาพทางภาษี และ รายการหักลดหย่อนภาษี ฯลฯ</t>
  </si>
  <si>
    <t>Sheet "SheetData" กำหนดหัวข้อ ประเภทรายได้ เช่น เงินเดือน ค่าล่วงเวลา ค่าครองชีพ ฯลฯ ส่วนรายการหักให้คงไว้ตามนั้นไม่สามารถแก้ไขได้</t>
  </si>
  <si>
    <t>แถบสีฟ้า โดยส่วนใหญ่จะเป็นสูตรในการคำนวณ ถ้าจะแก้ไขให้ใช้ความระมัดระวังในการแก้ไขด้วย</t>
  </si>
  <si>
    <t>การประมวลผลทั้งหมดจะใช้เลขรหัสพนักงานเป็นสำคัญ โดยไม่สนใจข้อมูลชื่อ-สกุลและอื่นๆ ดังนั้นรหัสพนักงาน และข้อมูลของพนักงานต้องตรวจสอบตรงกัน</t>
  </si>
  <si>
    <t>Save as เปลี่ยนชื่อไฟล์ให้ตรงกับ บริษัท ปีใหม่ และเดือนใหม่ เช่น Payroll_ABC_2007_01</t>
  </si>
  <si>
    <t>Sheet "Jan Feb … Nov Dec" Delete Sheet ทั้ง 12 เดือน</t>
  </si>
  <si>
    <t>เริ่มงานตาม "วิธีการทำงานประจำเดือน"</t>
  </si>
  <si>
    <t>Sheet "CompanyProfile" เลือกเดือนที่ประมวลผลภาษีและเงินเดือน เพื่อใช้ในการคำนวณภาษี และ สร้างแฟ้มของเดือนในการประมวลผล Sheet "YearToDate"</t>
  </si>
  <si>
    <t>Sheet "SheetData" แก้ไข เพิ่มเติม ข้อมูลพนักงาน รายได้ และ รายการหัก ประจำเดือนที่ต้องการประมวลผล และตรวจทานให้ถูกต้อง</t>
  </si>
  <si>
    <t>ตรวจสอบรายงานต่าง ๆ ให้ตรงกับยอดเงินรวมใน Sheet "SheetData" ทุกรายการ (ไม่ใช่ Sheet "TempData")</t>
  </si>
  <si>
    <t>Save ไฟล์ เมื่อเสร็จงาน</t>
  </si>
  <si>
    <t>ค่าจ้าง</t>
  </si>
  <si>
    <t>Sheet "Control_Sheet" กดปุ่ม [1.W-tax Calculation] เพื่อคำนวณภาษีประจำเดือนของพนักงานแต่ละคน ("SheetData" ต้องมีข้อมูลอื่นครบถ้วน จึงจะประมวลผลภาษีได้ถูกต้อง)</t>
  </si>
  <si>
    <t>Sheet "Control_Sheet" กดปุ่ม [2.COPY From SheetData To TempData] เพื่อจัดเตรียมการทำรายงานต่าง ๆ และรวบรวมข้อมุลเฉพาะพนักงานปัจจุบัน (ตัดพนักงานที่ลาออก โดยดูจากยอดรวมรายได้ ที่มีค่าเป็น 0)</t>
  </si>
  <si>
    <t>กรณีเริ่มตั้งบริษัทใหม่ และเริ่มงานเงินเดือนระหว่างปี เช่น มีนาคม ให้เพิ่ม Sheet ว่าง เริ่มตั้งแต่เดือนมกราคม, กุมภาพันธ์ .... และตั้งชื่อเป็น "Jan" ,"Feb" …</t>
  </si>
  <si>
    <t>Sheet "CompanyProfile" แก้ไข เลขที่ใบรับรองหักภาษี ณ ที่จ่าย   วันที่ออกหนังสือรับรอง ปีที่ประมวลผล ให้ตรงปีปัจจุบัน</t>
  </si>
  <si>
    <t>Processing Date</t>
  </si>
  <si>
    <t>Month</t>
  </si>
  <si>
    <t>Day</t>
  </si>
  <si>
    <t>Year</t>
  </si>
  <si>
    <t>Date</t>
  </si>
  <si>
    <t>Sheet "CompanyProfile" แก้ไขวันที่จ่ายเงินเดือน (วันที่จะปรากฎใน รายงานการส่งเงินเข้าบัญชีธนาคาร และ ฯลฯ)</t>
  </si>
  <si>
    <t>Sheet "Employee" และ Sheet "Employee2" แก้ไข เพิ่มเติม ข้อมูลพนักงานใหม่(ถ้ามี) เช่นประวัติพนักงาน เลขที่บัญชีธนาคาร สถานะภาพทางภาษี และ รายการหักลดหย่อนภาษี</t>
  </si>
  <si>
    <t>ชื่อ/NAME</t>
  </si>
  <si>
    <t xml:space="preserve">โทรศัพท์ </t>
  </si>
  <si>
    <t>Sheet "SheetData" และ Sheet "YearToDate" ลบข้อมูลพนักงานที่ลาออก ให้คงเหลือเฉพาะพนักงานปัจจุบัน</t>
  </si>
  <si>
    <t>TRAVEL/PERDIAM</t>
  </si>
  <si>
    <t>โบนัส</t>
  </si>
  <si>
    <t>บริษัท ตัวอย่าง จำกัด</t>
  </si>
  <si>
    <t>สปส. 1-03/1</t>
  </si>
  <si>
    <t>แบบขึ้นทะเบียนผู้ประกันตน สำหรับผู้เคยยื่นแบบขึ้นทะเบียนผู้ประกันตน สปส.1-03 แล้ว</t>
  </si>
  <si>
    <t>ชื่อสาขา ...................................................................................................................................................  ลำดับที่สาขา .................000000.............................................</t>
  </si>
  <si>
    <t>สถานประกอบการ / สาขาตั้งอยู่เลขที่ ...........................หมู่ ........... ตรอก / ซอย .................... ถนน ...................... ตำบล / แขวง ..........................................</t>
  </si>
  <si>
    <t>อำเภอ / เขต .......................................... จังหวัด ............................................. รหัสไปรษณีย์ ........................... โทรศัพท์ ..............................</t>
  </si>
  <si>
    <t>คำนำหน้านาม ชื่อ - ชื่อสกุล</t>
  </si>
  <si>
    <t xml:space="preserve">วัน เดือน ปี </t>
  </si>
  <si>
    <t>เข้าทำงานใหม่</t>
  </si>
  <si>
    <t>สุดท้ายก่อนเข้า</t>
  </si>
  <si>
    <t>กรณีทำงานกับ</t>
  </si>
  <si>
    <t>ทำงานที่นี่</t>
  </si>
  <si>
    <t>นายจ้างหลายราย</t>
  </si>
  <si>
    <t>1. สำหรับคนต่างด้าวให้กรอกเลขที่บัตรประกันสังคม</t>
  </si>
  <si>
    <t>ข้าพเจ้าขอรับรองว่ารายการที่แจ้งไว้ข้างต้นถูกต้องและเป็นจริงทุกประการ</t>
  </si>
  <si>
    <t xml:space="preserve">     ลงในช่องเลขประจำตัวประชาชน</t>
  </si>
  <si>
    <t>2. ให้แจ้งการขึ้นทะเบียนผู้ประกันตน  ภายใน 30 วัน</t>
  </si>
  <si>
    <t xml:space="preserve">  ...................................................................... นายจ้าง / ผู้รับมอบอำนาจ</t>
  </si>
  <si>
    <t xml:space="preserve">     นับแต่วันที่รับลูกจ้างเข้าทำงาน มิฉะนั้นจะมีความ</t>
  </si>
  <si>
    <t xml:space="preserve">     ผิดต้องระวางโทษจำคุกไม่เกิน  6  เดือน   หรือปรับ</t>
  </si>
  <si>
    <t xml:space="preserve">     ไม่เกิน 20,000.00 บาท หรือทั้งจำทั้งปรับ</t>
  </si>
  <si>
    <t xml:space="preserve">  วันที่ .............. เดือน ........................... พ.ศ. ............</t>
  </si>
  <si>
    <t>สปส. 6-09</t>
  </si>
  <si>
    <t>หนังสือแจ้งการสิ้นสุดความเป็นผู้ประกันตน</t>
  </si>
  <si>
    <t>สาเหตุการสิ้นสุดความเป็นผู้ประกันตน</t>
  </si>
  <si>
    <t>ที่สิ้นสุด</t>
  </si>
  <si>
    <t xml:space="preserve">              ข้าพเจ้าขอรับรองว่ารายการที่แจ้งไว้ข้างต้นถูกต้องและเป็นจริงทุกประการ</t>
  </si>
  <si>
    <t>สาเหตุ</t>
  </si>
  <si>
    <t>1. ลาออก</t>
  </si>
  <si>
    <t xml:space="preserve"> 2. สิ้นสุดระยะเวลาการจ้าง</t>
  </si>
  <si>
    <t>2. ให้แจ้งการสิ้นสุดความเป็นผู้ประกันตน ตั้งแต่วันที่มีการ</t>
  </si>
  <si>
    <t xml:space="preserve">           ลงชื่อ ............................................................. นายจ้าง / ผู้รับมอบอำนาจ</t>
  </si>
  <si>
    <t xml:space="preserve"> 3. เลิกจ้าง</t>
  </si>
  <si>
    <t xml:space="preserve">     เปลี่ยนแปลง ทั้งนี้ไม่เกินวันที่ 15 ของเดือน ถัดจาก</t>
  </si>
  <si>
    <t xml:space="preserve"> 4. เกษียณอายุ</t>
  </si>
  <si>
    <t xml:space="preserve">     เดือนที่มีการเปลี่ยนแปลง มิฉะนั้นจะมีความผิด</t>
  </si>
  <si>
    <t xml:space="preserve"> 5. ไล่ออก / ปลดออก / ให้ออก</t>
  </si>
  <si>
    <t xml:space="preserve">     ต้องระวางโทษจำคุกไม่เกิน 6 เดือน หรือปรับไม่เกิน</t>
  </si>
  <si>
    <t xml:space="preserve">                    วันที่ .............. เดือน ........................... พ.ศ. ................</t>
  </si>
  <si>
    <t xml:space="preserve">      เนื่องจากกระทำความผิด</t>
  </si>
  <si>
    <t xml:space="preserve">     20,000.00 บาท หรือทั้งจำทั้งปรับ</t>
  </si>
  <si>
    <t xml:space="preserve"> 6. ตาย</t>
  </si>
  <si>
    <t xml:space="preserve">ชื่อ </t>
  </si>
  <si>
    <t>128-0-01531-4</t>
  </si>
  <si>
    <t>ถวิล</t>
  </si>
  <si>
    <t>ภิรมย์พล</t>
  </si>
  <si>
    <t>อายุงาน-ปี</t>
  </si>
  <si>
    <t>อายุงาน-เดือน</t>
  </si>
  <si>
    <t>อายุงาน-วัน</t>
  </si>
  <si>
    <t>ปกส.สะสม</t>
  </si>
  <si>
    <t>YTD. SSF</t>
  </si>
  <si>
    <t>ไม่มี</t>
  </si>
  <si>
    <t>Sheet "YearToDate" กำหนดหัวข้อ ประเภทรายได้ เช่น เงินเดือน ค่าล่วงเวลา ค่าครองชีพ ฯลฯ ส่วนรายการหักให้คงไว้ตามนั้นไม่สามารถแก้ไขได้ (กำหนดหัวข้อให้ตรงกับ Sheet "SheetData")</t>
  </si>
  <si>
    <t>Sheet "SheetData" กำหนดประเภทรายได้ที่ต้องนำมารวมเป็นรายได้ เพื่อคำนวณเงินประกันสังคมใน Column "AE" โดยการใส่สูตรการรวมข้อมูลรายได้ให้ถูกต้อง</t>
  </si>
  <si>
    <t>Sheet "Control_Sheet" กดปุ่ม […….] เพื่อพิมพ์ Payslip, แบบฟอร์มภาษีเงินได้ (ภงด1 หรือ ภงด1ก) รายการนำเงินเข้าบัญชีธนาคาร รายงานประกันสังคม รายงานสรุปเงินเดือนแยกตามหน่วยงาน รายงานกองทุนสำรองเลี้ยงชีพ และ อื่นๆ (ถ้ามี)</t>
  </si>
  <si>
    <t>ค่าเช่าบ้าน</t>
  </si>
  <si>
    <t>ค่าน้ำมัน</t>
  </si>
  <si>
    <t>นางสาว</t>
  </si>
  <si>
    <t>วรพล</t>
  </si>
  <si>
    <t>ศุภกฤต</t>
  </si>
  <si>
    <t>วรรธนกร</t>
  </si>
  <si>
    <t>อนุพงษ์</t>
  </si>
  <si>
    <t>ณรงค์ฤทธิ์</t>
  </si>
  <si>
    <t>วิไล</t>
  </si>
  <si>
    <t>วาศิณี</t>
  </si>
  <si>
    <t>ธนวัฒน์</t>
  </si>
  <si>
    <t>ชัยรัตน์</t>
  </si>
  <si>
    <t>มะโนท</t>
  </si>
  <si>
    <t>จักรพงษ์</t>
  </si>
  <si>
    <t>ทนงศักดิ์</t>
  </si>
  <si>
    <t>อุกฤษณ์</t>
  </si>
  <si>
    <t>อนุสรณ์</t>
  </si>
  <si>
    <t>ไกรศล</t>
  </si>
  <si>
    <t>แผนก</t>
  </si>
  <si>
    <t>ฝ่าย</t>
  </si>
  <si>
    <t>BKK</t>
  </si>
  <si>
    <t>Fuel</t>
  </si>
  <si>
    <t>วันที่                เดือน                     พ.ศ   2554</t>
  </si>
  <si>
    <t>(ให้แยกกรอกรายการในใบต่อนี้ตามแต่ละอัตราภาษีหัก ณ ที่จ่าย โดยใส่เครื่องหมาย " X " ลงใน " [   ] " หน้าข้อความแล้วแต่กรณี</t>
  </si>
  <si>
    <t>อัตราภาษีหัก ณ ที่จ่าย    [ X ]</t>
  </si>
  <si>
    <t xml:space="preserve">   [   ]</t>
  </si>
  <si>
    <t>TMB</t>
  </si>
  <si>
    <t>SCB</t>
  </si>
  <si>
    <t>KBANK</t>
  </si>
  <si>
    <t>ค่าโทรศัทพ์</t>
  </si>
  <si>
    <t>ค่าครองชีพ</t>
  </si>
  <si>
    <t>SPECIAL ALLOWANCE</t>
  </si>
  <si>
    <t>รายละเอียดประกอบการจ่ายเงินเดือน  ประจำเดือนมกราคม 2555</t>
  </si>
  <si>
    <t xml:space="preserve">       [ X ]</t>
  </si>
  <si>
    <t xml:space="preserve">       [    ]</t>
  </si>
  <si>
    <t>Sheet "TaxCalculation" กำหนดประเภทรายได้ประจำ(1) เช่น เงินเดือน ฯ  และรายได้ไม่ประจำ(2) เช่น ค่าล่วงเวลา โบนัส ฯ ใน Cell "A13 - A20" โดยใส่ค่าตัวเลข 1 หรือ 2 ตามประเภทรายได้ประจำ/ไม่ประจำ</t>
  </si>
  <si>
    <t>Sheet "Control_Sheet" กดปุ่ม [3.Cumulative YearToDate] เพื่อสร้างไฟล์ของเดือนปัจจุบันและคำนวณยอดสะสมของแต่ละเดือนไปรวมใน Sheet"YearToDate" เพื่อออกรายงานยอดสะสมต่าง ๆ ใน Payslip ใบรับรองหักภาษี ณ ที่จ่าย และ ภงด.1ก ฯลฯ</t>
  </si>
  <si>
    <t>Save as เปลี่ยนชื่อไฟล์ให้ตรงกับ บริษัท ปีและเดือนประมวลผล เช่น Payroll_ABC_2007_02 (เพื่อเป็นการสำรองแฟ้มข้อมูลแต่ละเดือน กรณีมีปัญหาในการประมวลผลเดือนปัจจุบัน)</t>
  </si>
  <si>
    <t>กกกกกก</t>
  </si>
  <si>
    <t>ขขขขขข</t>
  </si>
  <si>
    <t>คคคคคค</t>
  </si>
  <si>
    <t>งงงงงงงง</t>
  </si>
  <si>
    <t>จจจจจจจ</t>
  </si>
  <si>
    <t>ชชชชชช</t>
  </si>
  <si>
    <t>นนนนนน</t>
  </si>
  <si>
    <t>ปปปปปป</t>
  </si>
  <si>
    <t>หหหหหห</t>
  </si>
  <si>
    <t>ฟฟฟฟฟฟ</t>
  </si>
  <si>
    <t>ลลลลลล</t>
  </si>
  <si>
    <t>ถถถถถถถ</t>
  </si>
  <si>
    <t>ททททท</t>
  </si>
  <si>
    <t>ผผผผผผ</t>
  </si>
  <si>
    <t>ฝฝฝฝฝฝ</t>
  </si>
  <si>
    <t>มมมมมม</t>
  </si>
  <si>
    <t>ยยยยยยย</t>
  </si>
  <si>
    <t>ณณณณณ</t>
  </si>
  <si>
    <t>ศศศศศศ</t>
  </si>
  <si>
    <t>นางสาวศุภกฤต  กกกกกก</t>
  </si>
  <si>
    <t>นายณรงค์ฤทธิ์  งงงงงงงง</t>
  </si>
  <si>
    <t>นายอุกฤษณ์  ถถถถถถถ</t>
  </si>
  <si>
    <t>นายอนุสรณ์  ททททท</t>
  </si>
  <si>
    <t>นายวรพล  ฝฝฝฝฝฝ</t>
  </si>
  <si>
    <t>นายศุภกฤต  มมมมมม</t>
  </si>
  <si>
    <t>นายวรรธนกร  ยยยยยยย</t>
  </si>
  <si>
    <t>นายอนุพงษ์  ณณณณณ</t>
  </si>
  <si>
    <t>นายณรงค์ฤทธิ์  ศศศศศศ</t>
  </si>
  <si>
    <t>BKKAdmin</t>
  </si>
  <si>
    <t>BKKAccount</t>
  </si>
  <si>
    <t>BKKSale</t>
  </si>
  <si>
    <t>BKKPurchase</t>
  </si>
  <si>
    <t>Group : BKKAccount</t>
  </si>
  <si>
    <t>Group : BKKAdmin</t>
  </si>
  <si>
    <t>Group : BKKPurchase</t>
  </si>
  <si>
    <t>Group : BKKSale</t>
  </si>
  <si>
    <t>นางสาววรรธนกร  ขขขขขข</t>
  </si>
  <si>
    <t>นางสาวอนุพงษ์  คคคคคค</t>
  </si>
  <si>
    <t>นายชัยรัตน์  ปปปปปป</t>
  </si>
  <si>
    <t>นางสาวทนงศักดิ์  ลลลลลล</t>
  </si>
  <si>
    <t>นางสาวไกรศล  ผผผผผผ</t>
  </si>
  <si>
    <t>(ผู้จัดการฝ่ายบุคคล)</t>
  </si>
  <si>
    <t>นายสมชาย   นครกสฟาดรกสด</t>
  </si>
  <si>
    <t>Rayong</t>
  </si>
  <si>
    <t>RayongSale</t>
  </si>
  <si>
    <t>RayongAdmin</t>
  </si>
  <si>
    <t>Group : RayongAdmin</t>
  </si>
  <si>
    <t>Group : RayongSale</t>
  </si>
  <si>
    <t xml:space="preserve">    (..........นายวีระพงษ์  ภภภภภภภภภภ...............)</t>
  </si>
  <si>
    <t xml:space="preserve">                     (..........นายวีระพงษ์  ถถถถถถถถถถถถ..............)</t>
  </si>
  <si>
    <t xml:space="preserve">  ตำแหน่ง ........ผู้จัดการฝ่ายบุคคล..............</t>
  </si>
  <si>
    <t>พนักงาน</t>
  </si>
  <si>
    <t xml:space="preserve">เงินเดือนไม่พึงเปิดเผย / YOUR SALARY IS A STRICTLY PRIVATE MATTER  </t>
  </si>
  <si>
    <t xml:space="preserve">                    ตำแหน่ง ........ผู้จัดการฝ่ายบุคคล..............</t>
  </si>
  <si>
    <t>02-1234567</t>
  </si>
  <si>
    <t>นายวีระพงษ์  ถถถถถถถถถถถถ</t>
  </si>
  <si>
    <t>ค่าเบี้ยเลี้ยง</t>
  </si>
  <si>
    <t>รายละเอียดประกอบการจ่ายเงินเดือน  ประจำเดือนกุมภาพันธ์ 2555</t>
  </si>
  <si>
    <t>(1)</t>
  </si>
  <si>
    <t>นางสาวจักรพงษ์  ฟฟฟฟฟฟ</t>
  </si>
  <si>
    <t>โปรแกรมเงินเดือนนี้ เขียนด้วย VBA (Macro)</t>
  </si>
  <si>
    <t>ดังนี้นก่อนการใช้งานต้อง Enable Macro ดังนี้</t>
  </si>
  <si>
    <t>Tools &gt; Options &gt; Security &gt; Macro Security &gt; Security Level &gt; Low(not recomended)</t>
  </si>
  <si>
    <t>office Logo &gt; Excel Options &gt; Trust Center &gt; Trust Center Settings &gt; Macro Setting &gt; เลือก Enable all macros...</t>
  </si>
  <si>
    <t>File &gt; Options &gt; Trust Center &gt; Trust Center Settings &gt; Macro Settings &gt; เลือก Enable all macros...</t>
  </si>
  <si>
    <t>ปิด Excel แล้วเปิดใหม่</t>
  </si>
  <si>
    <t>1.1 Excel 2003</t>
  </si>
  <si>
    <t>1.2 Excel 2007</t>
  </si>
  <si>
    <t>1.3 Excel 2010</t>
  </si>
  <si>
    <t>ก่อนเริ่มการใช้งานโปรแกรม</t>
  </si>
  <si>
    <t>Sheet "CompanyProfile" รูปแบบรายงานและหัวรายงานต่าง ๆ เช่น สปส1-03 ภงด1 ฯลฯ   แก้ไขชื่อที่อยู่ให้ตรงตามจริง เพราะโปรแกรมจะคัดลอกรูปแบบและหัวรายงานตรงนี้ไปใช้</t>
  </si>
  <si>
    <t>1234567890123</t>
  </si>
  <si>
    <t>นางธนวัฒน์  นนนนนน</t>
  </si>
  <si>
    <t>X</t>
  </si>
  <si>
    <t>นางมะโนท  หหหหหห</t>
  </si>
  <si>
    <t xml:space="preserve">           1  ถึง     150,000</t>
  </si>
  <si>
    <t xml:space="preserve"> 150,001  ถึง     300,000</t>
  </si>
  <si>
    <t xml:space="preserve"> 300,001  ถึง     500,000</t>
  </si>
  <si>
    <t xml:space="preserve"> 500,001  ถึง     750,000</t>
  </si>
  <si>
    <t xml:space="preserve"> 750,001  ถึง  1,000,000</t>
  </si>
  <si>
    <t>1,000,001 ถึง 2,000,000</t>
  </si>
  <si>
    <t>2,000,001 ถึง 4,000,000</t>
  </si>
  <si>
    <t>รายละเอียดประกอบการจ่ายเงินเดือน  ประจำเดือนมีนาคม 2556</t>
  </si>
  <si>
    <t>หจก.ศิวะกรเซฟตี้ จำกัด</t>
  </si>
  <si>
    <t>52/617 หมู่ 10 ตำบลห้วยบง อำเภอเฉลิมพระเกียรติ จ.สระบุรี</t>
  </si>
  <si>
    <t>HR57</t>
  </si>
  <si>
    <t>สุคนธ์</t>
  </si>
  <si>
    <t>พูลพุฒ</t>
  </si>
  <si>
    <t>TB</t>
  </si>
  <si>
    <t>สระบุรี</t>
  </si>
  <si>
    <t>จป.</t>
  </si>
  <si>
    <t>หัวหน้างาน</t>
  </si>
  <si>
    <t>บริหาร</t>
  </si>
  <si>
    <t>SWK56001</t>
  </si>
</sst>
</file>

<file path=xl/styles.xml><?xml version="1.0" encoding="utf-8"?>
<styleSheet xmlns="http://schemas.openxmlformats.org/spreadsheetml/2006/main">
  <numFmts count="22">
    <numFmt numFmtId="41" formatCode="_-* #,##0_-;\-* #,##0_-;_-* &quot;-&quot;_-;_-@_-"/>
    <numFmt numFmtId="43" formatCode="_-* #,##0.00_-;\-* #,##0.00_-;_-* &quot;-&quot;??_-;_-@_-"/>
    <numFmt numFmtId="187" formatCode="_(* #,##0.00_);_(* \(#,##0.00\);_(* &quot;-&quot;??_);_(@_)"/>
    <numFmt numFmtId="188" formatCode="000"/>
    <numFmt numFmtId="189" formatCode="#,##0.00_ ;\-#,##0.00\ "/>
    <numFmt numFmtId="190" formatCode="ดดด\ bbbb"/>
    <numFmt numFmtId="191" formatCode="d\ ดดดด\ bbbb"/>
    <numFmt numFmtId="192" formatCode="_-* #,##0_-;\-* #,##0_-;_-* &quot;-&quot;??_-;_-@_-"/>
    <numFmt numFmtId="193" formatCode="d\ ดดด\ bbbb"/>
    <numFmt numFmtId="194" formatCode="0000000"/>
    <numFmt numFmtId="195" formatCode="0\ 0\ 0\ 0\ 0\ 0\ 0\ 0\ 0\ 0"/>
    <numFmt numFmtId="196" formatCode="000\-0\-00000\-0"/>
    <numFmt numFmtId="197" formatCode="dd/mm/bb"/>
    <numFmt numFmtId="198" formatCode="0&quot;  คน&quot;"/>
    <numFmt numFmtId="199" formatCode="0;[Red]0"/>
    <numFmt numFmtId="200" formatCode="dd\ ดดด\ bbbb"/>
    <numFmt numFmtId="201" formatCode="[$-107041E]d\ mmmm\ yyyy;@"/>
    <numFmt numFmtId="202" formatCode="[$-107041E]d\ mmm\ yy;@"/>
    <numFmt numFmtId="203" formatCode="dd\-mmm\-bbbb"/>
    <numFmt numFmtId="204" formatCode="dd\ ดดดด\ bb"/>
    <numFmt numFmtId="205" formatCode="00000"/>
    <numFmt numFmtId="206" formatCode="0\-0000\-00000\-00\-0"/>
  </numFmts>
  <fonts count="90">
    <font>
      <sz val="14"/>
      <name val="Cordia New"/>
      <charset val="222"/>
    </font>
    <font>
      <sz val="14"/>
      <name val="Cordia New"/>
      <family val="2"/>
    </font>
    <font>
      <sz val="11"/>
      <name val="Tahoma"/>
      <family val="2"/>
      <charset val="222"/>
    </font>
    <font>
      <b/>
      <sz val="11"/>
      <name val="Tahoma"/>
      <family val="2"/>
      <charset val="222"/>
    </font>
    <font>
      <sz val="9"/>
      <name val="Tahoma"/>
      <family val="2"/>
      <charset val="222"/>
    </font>
    <font>
      <sz val="8"/>
      <name val="Tahoma"/>
      <family val="2"/>
      <charset val="222"/>
    </font>
    <font>
      <sz val="14"/>
      <name val="AngsanaUPC"/>
      <family val="1"/>
      <charset val="222"/>
    </font>
    <font>
      <b/>
      <sz val="9"/>
      <name val="Tahoma"/>
      <family val="2"/>
      <charset val="222"/>
    </font>
    <font>
      <sz val="14"/>
      <name val="Cordia New"/>
      <family val="2"/>
      <charset val="222"/>
    </font>
    <font>
      <sz val="14"/>
      <color indexed="12"/>
      <name val="Cordia New"/>
      <family val="2"/>
      <charset val="222"/>
    </font>
    <font>
      <b/>
      <sz val="14"/>
      <name val="Cordia New"/>
      <family val="2"/>
      <charset val="222"/>
    </font>
    <font>
      <sz val="12"/>
      <name val="Cordia New"/>
      <family val="2"/>
      <charset val="222"/>
    </font>
    <font>
      <sz val="16"/>
      <name val="Cordia New"/>
      <family val="2"/>
      <charset val="222"/>
    </font>
    <font>
      <sz val="10"/>
      <name val="Cordia New"/>
      <family val="2"/>
      <charset val="222"/>
    </font>
    <font>
      <b/>
      <sz val="12"/>
      <name val="Cordia New"/>
      <family val="2"/>
      <charset val="222"/>
    </font>
    <font>
      <sz val="14"/>
      <name val="CordiaUPC"/>
      <family val="2"/>
      <charset val="222"/>
    </font>
    <font>
      <sz val="9"/>
      <name val="Microsoft Sans Serif"/>
      <family val="2"/>
    </font>
    <font>
      <b/>
      <i/>
      <sz val="14"/>
      <name val="Cordia New"/>
      <family val="2"/>
      <charset val="222"/>
    </font>
    <font>
      <sz val="12"/>
      <name val="MS Sans Serif"/>
      <family val="2"/>
      <charset val="222"/>
    </font>
    <font>
      <b/>
      <sz val="14"/>
      <name val="Tahoma"/>
      <family val="2"/>
      <charset val="222"/>
    </font>
    <font>
      <b/>
      <sz val="9"/>
      <color indexed="10"/>
      <name val="Tahoma"/>
      <family val="2"/>
      <charset val="222"/>
    </font>
    <font>
      <sz val="14"/>
      <color indexed="9"/>
      <name val="Cordia New"/>
      <family val="2"/>
      <charset val="222"/>
    </font>
    <font>
      <sz val="9"/>
      <name val="Tahoma"/>
      <family val="2"/>
    </font>
    <font>
      <sz val="8"/>
      <name val="Tahoma"/>
      <family val="2"/>
    </font>
    <font>
      <sz val="14"/>
      <name val="Tahoma"/>
      <family val="2"/>
    </font>
    <font>
      <b/>
      <sz val="18"/>
      <name val="CordiaUPC"/>
      <family val="2"/>
      <charset val="222"/>
    </font>
    <font>
      <sz val="14"/>
      <name val="CordiaUPC"/>
      <family val="2"/>
      <charset val="222"/>
    </font>
    <font>
      <sz val="8"/>
      <name val="Cordia New"/>
      <family val="2"/>
    </font>
    <font>
      <b/>
      <sz val="20"/>
      <color indexed="9"/>
      <name val="BrowalliaUPC"/>
      <family val="2"/>
      <charset val="222"/>
    </font>
    <font>
      <b/>
      <sz val="18"/>
      <name val="CordiaUPC"/>
      <family val="2"/>
      <charset val="222"/>
    </font>
    <font>
      <b/>
      <sz val="14"/>
      <name val="CordiaUPC"/>
      <family val="2"/>
      <charset val="222"/>
    </font>
    <font>
      <b/>
      <sz val="16"/>
      <name val="CordiaUPC"/>
      <family val="2"/>
      <charset val="222"/>
    </font>
    <font>
      <sz val="14"/>
      <color indexed="10"/>
      <name val="CordiaUPC"/>
      <family val="2"/>
      <charset val="222"/>
    </font>
    <font>
      <b/>
      <sz val="14"/>
      <name val="CordiaUPC"/>
      <family val="2"/>
      <charset val="222"/>
    </font>
    <font>
      <b/>
      <sz val="14"/>
      <color indexed="12"/>
      <name val="CordiaUPC"/>
      <family val="2"/>
      <charset val="222"/>
    </font>
    <font>
      <b/>
      <sz val="14"/>
      <color indexed="10"/>
      <name val="CordiaUPC"/>
      <family val="2"/>
      <charset val="222"/>
    </font>
    <font>
      <b/>
      <sz val="20"/>
      <color indexed="62"/>
      <name val="CordiaUPC"/>
      <family val="2"/>
      <charset val="222"/>
    </font>
    <font>
      <b/>
      <sz val="20"/>
      <color indexed="37"/>
      <name val="CordiaUPC"/>
      <family val="2"/>
      <charset val="222"/>
    </font>
    <font>
      <sz val="18"/>
      <name val="CordiaUPC"/>
      <family val="2"/>
      <charset val="222"/>
    </font>
    <font>
      <sz val="20"/>
      <name val="CordiaUPC"/>
      <family val="2"/>
      <charset val="222"/>
    </font>
    <font>
      <sz val="22"/>
      <name val="CordiaUPC"/>
      <family val="2"/>
      <charset val="222"/>
    </font>
    <font>
      <b/>
      <sz val="22"/>
      <color indexed="37"/>
      <name val="CordiaUPC"/>
      <family val="2"/>
      <charset val="222"/>
    </font>
    <font>
      <b/>
      <sz val="20"/>
      <color indexed="12"/>
      <name val="CordiaUPC"/>
      <family val="2"/>
      <charset val="222"/>
    </font>
    <font>
      <b/>
      <sz val="26"/>
      <name val="CordiaUPC"/>
      <family val="2"/>
      <charset val="222"/>
    </font>
    <font>
      <b/>
      <sz val="8"/>
      <name val="Tahoma"/>
      <family val="2"/>
    </font>
    <font>
      <sz val="10"/>
      <name val="Tahoma"/>
      <family val="2"/>
    </font>
    <font>
      <b/>
      <sz val="9"/>
      <name val="Tahoma"/>
      <family val="2"/>
    </font>
    <font>
      <sz val="14"/>
      <color indexed="9"/>
      <name val="Cordia New"/>
      <family val="2"/>
    </font>
    <font>
      <b/>
      <i/>
      <sz val="14"/>
      <color indexed="9"/>
      <name val="Cordia New"/>
      <family val="2"/>
    </font>
    <font>
      <b/>
      <sz val="22"/>
      <color indexed="9"/>
      <name val="Copperplate Gothic Bold"/>
      <family val="2"/>
    </font>
    <font>
      <b/>
      <sz val="22"/>
      <color indexed="41"/>
      <name val="Copperplate Gothic Bold"/>
      <family val="2"/>
    </font>
    <font>
      <b/>
      <sz val="22"/>
      <color indexed="62"/>
      <name val="CordiaUPC"/>
      <family val="2"/>
      <charset val="222"/>
    </font>
    <font>
      <b/>
      <sz val="16"/>
      <name val="BrowalliaUPC"/>
      <family val="2"/>
      <charset val="222"/>
    </font>
    <font>
      <b/>
      <sz val="14"/>
      <name val="BrowalliaUPC"/>
      <family val="2"/>
      <charset val="222"/>
    </font>
    <font>
      <sz val="14"/>
      <name val="BrowalliaUPC"/>
      <family val="2"/>
      <charset val="222"/>
    </font>
    <font>
      <sz val="16"/>
      <name val="BrowalliaUPC"/>
      <family val="2"/>
      <charset val="222"/>
    </font>
    <font>
      <b/>
      <sz val="11"/>
      <name val="BrowalliaUPC"/>
      <family val="2"/>
      <charset val="222"/>
    </font>
    <font>
      <b/>
      <sz val="10"/>
      <name val="BrowalliaUPC"/>
      <family val="2"/>
      <charset val="222"/>
    </font>
    <font>
      <sz val="10"/>
      <name val="BrowalliaUPC"/>
      <family val="2"/>
      <charset val="222"/>
    </font>
    <font>
      <sz val="12"/>
      <name val="BrowalliaUPC"/>
      <family val="2"/>
      <charset val="222"/>
    </font>
    <font>
      <sz val="10"/>
      <name val="Arial"/>
      <family val="2"/>
    </font>
    <font>
      <sz val="8"/>
      <name val="Arial"/>
      <family val="2"/>
    </font>
    <font>
      <sz val="14"/>
      <name val="Cordia New"/>
      <family val="2"/>
    </font>
    <font>
      <b/>
      <sz val="14"/>
      <name val="Cordia New"/>
      <family val="2"/>
    </font>
    <font>
      <b/>
      <sz val="16"/>
      <name val="Cordia New"/>
      <family val="2"/>
    </font>
    <font>
      <b/>
      <sz val="12"/>
      <name val="Tahoma"/>
      <family val="2"/>
    </font>
    <font>
      <b/>
      <sz val="10"/>
      <name val="Tahoma"/>
      <family val="2"/>
    </font>
    <font>
      <b/>
      <sz val="14"/>
      <name val="Tahoma"/>
      <family val="2"/>
    </font>
    <font>
      <u/>
      <sz val="14"/>
      <name val="Cordia New"/>
      <family val="2"/>
    </font>
    <font>
      <b/>
      <sz val="11"/>
      <name val="Tahoma"/>
      <family val="2"/>
    </font>
    <font>
      <b/>
      <sz val="8"/>
      <name val="Tahoma"/>
      <family val="2"/>
      <charset val="222"/>
    </font>
    <font>
      <b/>
      <sz val="18"/>
      <name val="Tahoma"/>
      <family val="2"/>
    </font>
    <font>
      <sz val="7"/>
      <name val="Tahoma"/>
      <family val="2"/>
    </font>
    <font>
      <sz val="12"/>
      <name val="Tahoma"/>
      <family val="2"/>
    </font>
    <font>
      <sz val="9"/>
      <color indexed="10"/>
      <name val="Tahoma"/>
      <family val="2"/>
    </font>
    <font>
      <sz val="20"/>
      <name val="Cordia New"/>
      <family val="2"/>
    </font>
    <font>
      <sz val="18"/>
      <name val="Cooper Black"/>
      <family val="1"/>
    </font>
    <font>
      <b/>
      <sz val="8"/>
      <color indexed="81"/>
      <name val="Tahoma"/>
      <family val="2"/>
    </font>
    <font>
      <b/>
      <sz val="8"/>
      <color indexed="81"/>
      <name val="MS Sans Serif"/>
      <family val="2"/>
      <charset val="222"/>
    </font>
    <font>
      <sz val="16"/>
      <color indexed="8"/>
      <name val="BrowalliaUPC"/>
      <family val="2"/>
      <charset val="222"/>
    </font>
    <font>
      <b/>
      <sz val="16"/>
      <color indexed="8"/>
      <name val="BrowalliaUPC"/>
      <family val="2"/>
      <charset val="222"/>
    </font>
    <font>
      <sz val="8"/>
      <name val="Cordia New"/>
      <family val="2"/>
    </font>
    <font>
      <sz val="14"/>
      <color indexed="12"/>
      <name val="Cordia New"/>
      <family val="2"/>
    </font>
    <font>
      <sz val="14"/>
      <color indexed="10"/>
      <name val="Cordia New"/>
      <family val="2"/>
    </font>
    <font>
      <b/>
      <sz val="12"/>
      <color indexed="12"/>
      <name val="Tahoma"/>
      <family val="2"/>
    </font>
    <font>
      <b/>
      <sz val="11"/>
      <color indexed="12"/>
      <name val="Tahoma"/>
      <family val="2"/>
    </font>
    <font>
      <sz val="11"/>
      <color indexed="16"/>
      <name val="Tahoma"/>
      <family val="2"/>
    </font>
    <font>
      <sz val="10"/>
      <color indexed="16"/>
      <name val="Tahoma"/>
      <family val="2"/>
    </font>
    <font>
      <sz val="11"/>
      <color indexed="25"/>
      <name val="Tahoma"/>
      <family val="2"/>
    </font>
    <font>
      <sz val="8"/>
      <color indexed="8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37"/>
      </left>
      <right style="double">
        <color indexed="37"/>
      </right>
      <top style="double">
        <color indexed="37"/>
      </top>
      <bottom/>
      <diagonal/>
    </border>
    <border>
      <left style="double">
        <color indexed="37"/>
      </left>
      <right style="double">
        <color indexed="37"/>
      </right>
      <top/>
      <bottom style="thin">
        <color indexed="64"/>
      </bottom>
      <diagonal/>
    </border>
    <border>
      <left style="double">
        <color indexed="37"/>
      </left>
      <right style="double">
        <color indexed="37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37"/>
      </left>
      <right style="double">
        <color indexed="37"/>
      </right>
      <top style="double">
        <color indexed="64"/>
      </top>
      <bottom style="double">
        <color indexed="37"/>
      </bottom>
      <diagonal/>
    </border>
    <border>
      <left style="thin">
        <color indexed="64"/>
      </left>
      <right style="double">
        <color indexed="37"/>
      </right>
      <top/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double">
        <color indexed="37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37"/>
      </left>
      <right style="double">
        <color indexed="37"/>
      </right>
      <top/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16" fillId="0" borderId="0"/>
    <xf numFmtId="0" fontId="1" fillId="0" borderId="0" applyNumberFormat="0" applyFont="0" applyFill="0" applyBorder="0" applyAlignment="0" applyProtection="0"/>
    <xf numFmtId="0" fontId="1" fillId="0" borderId="0"/>
    <xf numFmtId="0" fontId="16" fillId="0" borderId="0"/>
    <xf numFmtId="0" fontId="1" fillId="0" borderId="0"/>
    <xf numFmtId="0" fontId="1" fillId="0" borderId="0" applyNumberFormat="0" applyFont="0" applyFill="0" applyBorder="0" applyAlignment="0" applyProtection="0"/>
    <xf numFmtId="0" fontId="15" fillId="0" borderId="0"/>
    <xf numFmtId="0" fontId="60" fillId="0" borderId="0"/>
    <xf numFmtId="9" fontId="1" fillId="0" borderId="0" applyFont="0" applyFill="0" applyBorder="0" applyAlignment="0" applyProtection="0"/>
  </cellStyleXfs>
  <cellXfs count="783">
    <xf numFmtId="0" fontId="0" fillId="0" borderId="0" xfId="0"/>
    <xf numFmtId="0" fontId="4" fillId="0" borderId="0" xfId="0" applyFont="1"/>
    <xf numFmtId="0" fontId="10" fillId="0" borderId="0" xfId="3" applyFont="1"/>
    <xf numFmtId="0" fontId="8" fillId="0" borderId="0" xfId="3" applyFont="1"/>
    <xf numFmtId="0" fontId="11" fillId="0" borderId="0" xfId="3" applyFont="1"/>
    <xf numFmtId="0" fontId="10" fillId="0" borderId="0" xfId="3" applyFont="1" applyBorder="1" applyAlignment="1">
      <alignment horizontal="right"/>
    </xf>
    <xf numFmtId="0" fontId="10" fillId="0" borderId="0" xfId="3" applyFont="1" applyBorder="1" applyAlignment="1"/>
    <xf numFmtId="0" fontId="10" fillId="0" borderId="1" xfId="3" applyFont="1" applyBorder="1" applyAlignment="1">
      <alignment horizontal="right"/>
    </xf>
    <xf numFmtId="0" fontId="8" fillId="0" borderId="0" xfId="3" applyFont="1" applyBorder="1" applyAlignment="1"/>
    <xf numFmtId="0" fontId="8" fillId="0" borderId="2" xfId="3" applyFont="1" applyBorder="1"/>
    <xf numFmtId="0" fontId="8" fillId="0" borderId="3" xfId="3" applyFont="1" applyBorder="1"/>
    <xf numFmtId="0" fontId="10" fillId="0" borderId="0" xfId="3" applyFont="1" applyBorder="1" applyAlignment="1">
      <alignment horizontal="center"/>
    </xf>
    <xf numFmtId="0" fontId="10" fillId="0" borderId="4" xfId="3" applyFont="1" applyBorder="1" applyAlignment="1">
      <alignment horizontal="center"/>
    </xf>
    <xf numFmtId="0" fontId="10" fillId="0" borderId="5" xfId="3" applyFont="1" applyBorder="1" applyAlignment="1">
      <alignment horizontal="center"/>
    </xf>
    <xf numFmtId="0" fontId="8" fillId="0" borderId="6" xfId="3" applyFont="1" applyBorder="1" applyAlignment="1">
      <alignment horizontal="center"/>
    </xf>
    <xf numFmtId="0" fontId="10" fillId="0" borderId="0" xfId="3" applyFont="1" applyBorder="1" applyAlignment="1">
      <alignment horizontal="left"/>
    </xf>
    <xf numFmtId="0" fontId="8" fillId="0" borderId="0" xfId="3" applyFont="1" applyBorder="1"/>
    <xf numFmtId="0" fontId="8" fillId="0" borderId="4" xfId="3" applyFont="1" applyBorder="1" applyAlignment="1"/>
    <xf numFmtId="0" fontId="8" fillId="0" borderId="0" xfId="3" applyFont="1" applyBorder="1" applyAlignment="1">
      <alignment horizontal="center"/>
    </xf>
    <xf numFmtId="0" fontId="8" fillId="0" borderId="7" xfId="3" applyFont="1" applyBorder="1" applyAlignment="1"/>
    <xf numFmtId="0" fontId="8" fillId="0" borderId="8" xfId="3" applyFont="1" applyBorder="1" applyAlignment="1">
      <alignment horizontal="center"/>
    </xf>
    <xf numFmtId="0" fontId="12" fillId="0" borderId="1" xfId="3" applyFont="1" applyBorder="1" applyAlignment="1">
      <alignment horizontal="left"/>
    </xf>
    <xf numFmtId="0" fontId="8" fillId="0" borderId="1" xfId="3" applyFont="1" applyBorder="1" applyAlignment="1"/>
    <xf numFmtId="0" fontId="8" fillId="0" borderId="1" xfId="3" applyFont="1" applyBorder="1" applyAlignment="1">
      <alignment horizontal="center"/>
    </xf>
    <xf numFmtId="0" fontId="8" fillId="0" borderId="9" xfId="3" applyFont="1" applyBorder="1" applyAlignment="1"/>
    <xf numFmtId="195" fontId="10" fillId="0" borderId="4" xfId="3" applyNumberFormat="1" applyFont="1" applyBorder="1" applyAlignment="1">
      <alignment horizontal="center"/>
    </xf>
    <xf numFmtId="0" fontId="10" fillId="0" borderId="0" xfId="3" applyFont="1" applyBorder="1"/>
    <xf numFmtId="0" fontId="11" fillId="0" borderId="1" xfId="3" applyFont="1" applyBorder="1"/>
    <xf numFmtId="0" fontId="8" fillId="0" borderId="1" xfId="3" applyFont="1" applyBorder="1"/>
    <xf numFmtId="0" fontId="10" fillId="0" borderId="10" xfId="3" applyFont="1" applyBorder="1" applyAlignment="1">
      <alignment horizontal="center" vertical="top" wrapText="1"/>
    </xf>
    <xf numFmtId="0" fontId="10" fillId="0" borderId="10" xfId="3" applyFont="1" applyBorder="1" applyAlignment="1">
      <alignment horizontal="center" vertical="center" wrapText="1"/>
    </xf>
    <xf numFmtId="0" fontId="10" fillId="0" borderId="4" xfId="3" applyFont="1" applyBorder="1" applyAlignment="1">
      <alignment horizontal="center" vertical="center" wrapText="1"/>
    </xf>
    <xf numFmtId="0" fontId="10" fillId="0" borderId="11" xfId="3" applyFont="1" applyBorder="1" applyAlignment="1">
      <alignment horizontal="center" vertical="center" wrapText="1"/>
    </xf>
    <xf numFmtId="0" fontId="11" fillId="0" borderId="6" xfId="3" applyFont="1" applyBorder="1"/>
    <xf numFmtId="0" fontId="11" fillId="0" borderId="0" xfId="3" applyFont="1" applyBorder="1"/>
    <xf numFmtId="0" fontId="8" fillId="0" borderId="6" xfId="3" applyFont="1" applyBorder="1"/>
    <xf numFmtId="0" fontId="8" fillId="0" borderId="6" xfId="3" applyFont="1" applyBorder="1" applyAlignment="1"/>
    <xf numFmtId="0" fontId="12" fillId="0" borderId="6" xfId="3" quotePrefix="1" applyFont="1" applyBorder="1" applyAlignment="1">
      <alignment horizontal="left"/>
    </xf>
    <xf numFmtId="193" fontId="8" fillId="0" borderId="8" xfId="3" applyNumberFormat="1" applyFont="1" applyBorder="1" applyAlignment="1">
      <alignment horizontal="center"/>
    </xf>
    <xf numFmtId="43" fontId="8" fillId="0" borderId="8" xfId="1" applyFont="1" applyBorder="1" applyAlignment="1">
      <alignment horizontal="center"/>
    </xf>
    <xf numFmtId="43" fontId="8" fillId="0" borderId="4" xfId="1" applyFont="1" applyBorder="1" applyAlignment="1">
      <alignment horizontal="center"/>
    </xf>
    <xf numFmtId="0" fontId="12" fillId="0" borderId="0" xfId="3" quotePrefix="1" applyFont="1" applyBorder="1" applyAlignment="1">
      <alignment horizontal="left"/>
    </xf>
    <xf numFmtId="43" fontId="8" fillId="0" borderId="12" xfId="1" applyFont="1" applyBorder="1" applyAlignment="1">
      <alignment horizontal="center"/>
    </xf>
    <xf numFmtId="0" fontId="11" fillId="0" borderId="6" xfId="3" quotePrefix="1" applyFont="1" applyBorder="1"/>
    <xf numFmtId="0" fontId="10" fillId="0" borderId="7" xfId="3" applyFont="1" applyBorder="1" applyAlignment="1">
      <alignment horizontal="center"/>
    </xf>
    <xf numFmtId="0" fontId="11" fillId="0" borderId="0" xfId="3" quotePrefix="1" applyFont="1" applyBorder="1"/>
    <xf numFmtId="0" fontId="8" fillId="0" borderId="13" xfId="3" applyFont="1" applyBorder="1" applyAlignment="1"/>
    <xf numFmtId="0" fontId="8" fillId="0" borderId="14" xfId="3" applyFont="1" applyBorder="1" applyAlignment="1"/>
    <xf numFmtId="0" fontId="8" fillId="0" borderId="4" xfId="3" applyFont="1" applyFill="1" applyBorder="1" applyAlignment="1">
      <alignment horizontal="center"/>
    </xf>
    <xf numFmtId="0" fontId="13" fillId="0" borderId="0" xfId="3" applyFont="1" applyBorder="1" applyAlignment="1">
      <alignment horizontal="center"/>
    </xf>
    <xf numFmtId="0" fontId="11" fillId="0" borderId="4" xfId="3" applyFont="1" applyBorder="1" applyAlignment="1">
      <alignment horizontal="center"/>
    </xf>
    <xf numFmtId="0" fontId="13" fillId="0" borderId="0" xfId="3" applyFont="1" applyBorder="1"/>
    <xf numFmtId="0" fontId="13" fillId="0" borderId="7" xfId="3" applyFont="1" applyBorder="1" applyAlignment="1">
      <alignment horizontal="center"/>
    </xf>
    <xf numFmtId="0" fontId="8" fillId="0" borderId="5" xfId="3" applyFont="1" applyBorder="1"/>
    <xf numFmtId="0" fontId="11" fillId="0" borderId="7" xfId="3" applyFont="1" applyBorder="1"/>
    <xf numFmtId="0" fontId="8" fillId="0" borderId="4" xfId="3" applyFont="1" applyBorder="1" applyAlignment="1">
      <alignment horizontal="center"/>
    </xf>
    <xf numFmtId="0" fontId="8" fillId="0" borderId="7" xfId="3" applyFont="1" applyBorder="1" applyAlignment="1">
      <alignment horizontal="center"/>
    </xf>
    <xf numFmtId="0" fontId="11" fillId="0" borderId="1" xfId="3" applyFont="1" applyFill="1" applyBorder="1"/>
    <xf numFmtId="0" fontId="11" fillId="0" borderId="9" xfId="3" applyFont="1" applyBorder="1"/>
    <xf numFmtId="193" fontId="8" fillId="0" borderId="1" xfId="3" applyNumberFormat="1" applyFont="1" applyBorder="1" applyAlignment="1">
      <alignment horizontal="center"/>
    </xf>
    <xf numFmtId="0" fontId="11" fillId="0" borderId="0" xfId="3" applyFont="1" applyFill="1" applyBorder="1"/>
    <xf numFmtId="0" fontId="8" fillId="0" borderId="0" xfId="3" applyFont="1" applyAlignment="1"/>
    <xf numFmtId="0" fontId="8" fillId="0" borderId="11" xfId="3" applyFont="1" applyBorder="1" applyAlignment="1">
      <alignment horizontal="center"/>
    </xf>
    <xf numFmtId="1" fontId="8" fillId="0" borderId="10" xfId="3" applyNumberFormat="1" applyFont="1" applyBorder="1" applyAlignment="1">
      <alignment horizontal="center"/>
    </xf>
    <xf numFmtId="1" fontId="8" fillId="0" borderId="11" xfId="3" applyNumberFormat="1" applyFont="1" applyBorder="1" applyAlignment="1">
      <alignment horizontal="center"/>
    </xf>
    <xf numFmtId="0" fontId="10" fillId="0" borderId="6" xfId="3" applyFont="1" applyBorder="1" applyAlignment="1">
      <alignment horizontal="center"/>
    </xf>
    <xf numFmtId="0" fontId="14" fillId="0" borderId="0" xfId="3" applyFont="1" applyBorder="1"/>
    <xf numFmtId="0" fontId="14" fillId="0" borderId="6" xfId="3" applyFont="1" applyBorder="1"/>
    <xf numFmtId="1" fontId="8" fillId="0" borderId="0" xfId="3" applyNumberFormat="1" applyFont="1" applyBorder="1" applyAlignment="1">
      <alignment horizontal="center"/>
    </xf>
    <xf numFmtId="4" fontId="10" fillId="0" borderId="6" xfId="1" applyNumberFormat="1" applyFont="1" applyBorder="1"/>
    <xf numFmtId="4" fontId="10" fillId="0" borderId="4" xfId="1" applyNumberFormat="1" applyFont="1" applyBorder="1" applyAlignment="1"/>
    <xf numFmtId="39" fontId="10" fillId="0" borderId="15" xfId="1" applyNumberFormat="1" applyFont="1" applyBorder="1" applyAlignment="1"/>
    <xf numFmtId="39" fontId="10" fillId="0" borderId="16" xfId="1" applyNumberFormat="1" applyFont="1" applyBorder="1" applyAlignment="1"/>
    <xf numFmtId="4" fontId="10" fillId="0" borderId="6" xfId="1" applyNumberFormat="1" applyFont="1" applyBorder="1" applyAlignment="1"/>
    <xf numFmtId="4" fontId="8" fillId="0" borderId="6" xfId="3" applyNumberFormat="1" applyFont="1" applyBorder="1" applyAlignment="1"/>
    <xf numFmtId="4" fontId="8" fillId="0" borderId="8" xfId="1" applyNumberFormat="1" applyFont="1" applyBorder="1" applyAlignment="1"/>
    <xf numFmtId="4" fontId="10" fillId="0" borderId="15" xfId="1" applyNumberFormat="1" applyFont="1" applyBorder="1" applyAlignment="1"/>
    <xf numFmtId="0" fontId="0" fillId="2" borderId="0" xfId="0" applyFill="1"/>
    <xf numFmtId="0" fontId="4" fillId="0" borderId="17" xfId="0" applyFont="1" applyBorder="1"/>
    <xf numFmtId="0" fontId="4" fillId="0" borderId="12" xfId="0" applyFont="1" applyBorder="1"/>
    <xf numFmtId="194" fontId="18" fillId="0" borderId="0" xfId="7" applyNumberFormat="1" applyFont="1" applyAlignment="1">
      <alignment horizontal="center"/>
    </xf>
    <xf numFmtId="0" fontId="18" fillId="0" borderId="0" xfId="7" applyFont="1"/>
    <xf numFmtId="1" fontId="12" fillId="0" borderId="1" xfId="3" applyNumberFormat="1" applyFont="1" applyBorder="1" applyAlignment="1">
      <alignment horizontal="left"/>
    </xf>
    <xf numFmtId="0" fontId="19" fillId="0" borderId="0" xfId="0" applyFont="1"/>
    <xf numFmtId="0" fontId="20" fillId="0" borderId="0" xfId="0" applyFont="1" applyAlignment="1">
      <alignment horizontal="right"/>
    </xf>
    <xf numFmtId="0" fontId="4" fillId="0" borderId="1" xfId="0" applyFont="1" applyBorder="1" applyAlignment="1">
      <alignment horizontal="centerContinuous"/>
    </xf>
    <xf numFmtId="0" fontId="7" fillId="0" borderId="0" xfId="0" applyFont="1" applyAlignment="1">
      <alignment horizontal="center"/>
    </xf>
    <xf numFmtId="0" fontId="4" fillId="0" borderId="2" xfId="0" applyFont="1" applyBorder="1"/>
    <xf numFmtId="0" fontId="4" fillId="0" borderId="0" xfId="0" applyFont="1" applyAlignment="1">
      <alignment horizontal="center"/>
    </xf>
    <xf numFmtId="0" fontId="4" fillId="0" borderId="6" xfId="0" applyFont="1" applyBorder="1"/>
    <xf numFmtId="0" fontId="4" fillId="0" borderId="8" xfId="0" applyFont="1" applyBorder="1"/>
    <xf numFmtId="0" fontId="4" fillId="0" borderId="17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89" fontId="4" fillId="0" borderId="4" xfId="0" applyNumberFormat="1" applyFont="1" applyBorder="1" applyAlignment="1">
      <alignment horizontal="center"/>
    </xf>
    <xf numFmtId="4" fontId="4" fillId="0" borderId="17" xfId="0" applyNumberFormat="1" applyFont="1" applyBorder="1" applyAlignment="1">
      <alignment horizontal="center"/>
    </xf>
    <xf numFmtId="4" fontId="4" fillId="0" borderId="3" xfId="0" applyNumberFormat="1" applyFont="1" applyBorder="1" applyAlignment="1">
      <alignment horizontal="center"/>
    </xf>
    <xf numFmtId="4" fontId="4" fillId="0" borderId="5" xfId="0" applyNumberFormat="1" applyFont="1" applyBorder="1" applyAlignment="1">
      <alignment horizontal="center"/>
    </xf>
    <xf numFmtId="4" fontId="4" fillId="0" borderId="12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4" fillId="0" borderId="9" xfId="0" applyNumberFormat="1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0" fontId="4" fillId="0" borderId="1" xfId="0" applyFont="1" applyBorder="1"/>
    <xf numFmtId="0" fontId="4" fillId="0" borderId="0" xfId="0" applyFont="1" applyBorder="1"/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3" fillId="0" borderId="1" xfId="0" applyFont="1" applyBorder="1" applyAlignment="1">
      <alignment horizontal="centerContinuous"/>
    </xf>
    <xf numFmtId="0" fontId="5" fillId="0" borderId="2" xfId="0" applyFont="1" applyBorder="1"/>
    <xf numFmtId="0" fontId="5" fillId="0" borderId="6" xfId="0" applyFont="1" applyBorder="1"/>
    <xf numFmtId="0" fontId="5" fillId="0" borderId="8" xfId="0" applyFont="1" applyBorder="1"/>
    <xf numFmtId="0" fontId="3" fillId="0" borderId="0" xfId="0" applyFont="1"/>
    <xf numFmtId="43" fontId="4" fillId="0" borderId="11" xfId="1" applyFont="1" applyBorder="1" applyAlignment="1">
      <alignment horizontal="center" vertical="center"/>
    </xf>
    <xf numFmtId="4" fontId="4" fillId="0" borderId="8" xfId="0" applyNumberFormat="1" applyFont="1" applyBorder="1" applyAlignment="1">
      <alignment horizontal="center"/>
    </xf>
    <xf numFmtId="1" fontId="10" fillId="0" borderId="7" xfId="3" applyNumberFormat="1" applyFont="1" applyBorder="1" applyAlignment="1">
      <alignment horizontal="center"/>
    </xf>
    <xf numFmtId="0" fontId="0" fillId="3" borderId="18" xfId="0" applyFill="1" applyBorder="1"/>
    <xf numFmtId="0" fontId="0" fillId="3" borderId="0" xfId="0" applyFill="1" applyBorder="1"/>
    <xf numFmtId="0" fontId="21" fillId="3" borderId="0" xfId="0" applyFont="1" applyFill="1" applyBorder="1"/>
    <xf numFmtId="0" fontId="9" fillId="3" borderId="19" xfId="0" applyFont="1" applyFill="1" applyBorder="1"/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  <xf numFmtId="0" fontId="0" fillId="3" borderId="22" xfId="0" applyFill="1" applyBorder="1"/>
    <xf numFmtId="1" fontId="5" fillId="0" borderId="4" xfId="2" applyNumberFormat="1" applyFont="1" applyFill="1" applyBorder="1" applyAlignment="1">
      <alignment horizontal="center"/>
    </xf>
    <xf numFmtId="188" fontId="5" fillId="0" borderId="4" xfId="2" applyNumberFormat="1" applyFont="1" applyFill="1" applyBorder="1" applyAlignment="1">
      <alignment horizontal="center"/>
    </xf>
    <xf numFmtId="1" fontId="5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/>
    <xf numFmtId="0" fontId="5" fillId="0" borderId="7" xfId="0" applyFont="1" applyFill="1" applyBorder="1" applyAlignment="1"/>
    <xf numFmtId="43" fontId="5" fillId="0" borderId="4" xfId="5" applyNumberFormat="1" applyFont="1" applyFill="1" applyBorder="1"/>
    <xf numFmtId="43" fontId="5" fillId="0" borderId="6" xfId="2" applyNumberFormat="1" applyFont="1" applyFill="1" applyBorder="1"/>
    <xf numFmtId="43" fontId="5" fillId="0" borderId="4" xfId="2" applyNumberFormat="1" applyFont="1" applyFill="1" applyBorder="1"/>
    <xf numFmtId="43" fontId="5" fillId="0" borderId="0" xfId="2" applyNumberFormat="1" applyFont="1" applyFill="1" applyBorder="1"/>
    <xf numFmtId="43" fontId="5" fillId="0" borderId="0" xfId="2" applyNumberFormat="1" applyFont="1" applyFill="1"/>
    <xf numFmtId="0" fontId="5" fillId="0" borderId="0" xfId="2" applyFont="1" applyFill="1"/>
    <xf numFmtId="0" fontId="0" fillId="4" borderId="0" xfId="0" applyFill="1" applyBorder="1"/>
    <xf numFmtId="0" fontId="0" fillId="4" borderId="19" xfId="0" applyFill="1" applyBorder="1"/>
    <xf numFmtId="0" fontId="0" fillId="4" borderId="21" xfId="0" applyFill="1" applyBorder="1"/>
    <xf numFmtId="0" fontId="0" fillId="4" borderId="22" xfId="0" applyFill="1" applyBorder="1"/>
    <xf numFmtId="43" fontId="4" fillId="0" borderId="11" xfId="2" applyNumberFormat="1" applyFont="1" applyFill="1" applyBorder="1" applyAlignment="1">
      <alignment horizontal="center"/>
    </xf>
    <xf numFmtId="1" fontId="2" fillId="0" borderId="0" xfId="2" applyNumberFormat="1" applyFont="1" applyFill="1" applyAlignment="1">
      <alignment horizontal="left"/>
    </xf>
    <xf numFmtId="188" fontId="3" fillId="0" borderId="0" xfId="2" applyNumberFormat="1" applyFont="1" applyFill="1" applyAlignment="1">
      <alignment horizontal="left"/>
    </xf>
    <xf numFmtId="0" fontId="2" fillId="0" borderId="0" xfId="2" applyFont="1" applyFill="1"/>
    <xf numFmtId="43" fontId="2" fillId="0" borderId="0" xfId="2" applyNumberFormat="1" applyFont="1" applyFill="1"/>
    <xf numFmtId="1" fontId="2" fillId="0" borderId="0" xfId="5" applyNumberFormat="1" applyFont="1" applyFill="1" applyAlignment="1">
      <alignment horizontal="left"/>
    </xf>
    <xf numFmtId="190" fontId="3" fillId="0" borderId="0" xfId="2" applyNumberFormat="1" applyFont="1" applyFill="1"/>
    <xf numFmtId="43" fontId="7" fillId="0" borderId="0" xfId="2" applyNumberFormat="1" applyFont="1" applyFill="1" applyAlignment="1">
      <alignment horizontal="centerContinuous" vertical="top"/>
    </xf>
    <xf numFmtId="0" fontId="2" fillId="0" borderId="0" xfId="2" applyFont="1" applyFill="1" applyAlignment="1">
      <alignment horizontal="center"/>
    </xf>
    <xf numFmtId="1" fontId="4" fillId="0" borderId="17" xfId="2" applyNumberFormat="1" applyFont="1" applyFill="1" applyBorder="1" applyAlignment="1">
      <alignment horizontal="center"/>
    </xf>
    <xf numFmtId="188" fontId="4" fillId="0" borderId="17" xfId="2" applyNumberFormat="1" applyFont="1" applyFill="1" applyBorder="1" applyAlignment="1">
      <alignment horizontal="center"/>
    </xf>
    <xf numFmtId="188" fontId="4" fillId="0" borderId="2" xfId="2" applyNumberFormat="1" applyFont="1" applyFill="1" applyBorder="1" applyAlignment="1">
      <alignment horizontal="center"/>
    </xf>
    <xf numFmtId="0" fontId="4" fillId="0" borderId="3" xfId="2" applyFont="1" applyFill="1" applyBorder="1" applyAlignment="1">
      <alignment horizontal="centerContinuous"/>
    </xf>
    <xf numFmtId="0" fontId="4" fillId="0" borderId="5" xfId="2" applyFont="1" applyFill="1" applyBorder="1" applyAlignment="1">
      <alignment horizontal="centerContinuous"/>
    </xf>
    <xf numFmtId="43" fontId="4" fillId="0" borderId="23" xfId="2" applyNumberFormat="1" applyFont="1" applyFill="1" applyBorder="1" applyAlignment="1">
      <alignment horizontal="centerContinuous"/>
    </xf>
    <xf numFmtId="43" fontId="4" fillId="0" borderId="11" xfId="2" applyNumberFormat="1" applyFont="1" applyFill="1" applyBorder="1" applyAlignment="1">
      <alignment horizontal="centerContinuous"/>
    </xf>
    <xf numFmtId="43" fontId="4" fillId="0" borderId="17" xfId="2" applyNumberFormat="1" applyFont="1" applyFill="1" applyBorder="1" applyAlignment="1">
      <alignment horizontal="center"/>
    </xf>
    <xf numFmtId="43" fontId="4" fillId="0" borderId="0" xfId="2" applyNumberFormat="1" applyFont="1" applyFill="1"/>
    <xf numFmtId="0" fontId="4" fillId="0" borderId="0" xfId="2" applyFont="1" applyFill="1"/>
    <xf numFmtId="0" fontId="4" fillId="0" borderId="0" xfId="2" applyFont="1" applyFill="1" applyAlignment="1">
      <alignment horizontal="center"/>
    </xf>
    <xf numFmtId="1" fontId="4" fillId="0" borderId="12" xfId="2" applyNumberFormat="1" applyFont="1" applyFill="1" applyBorder="1" applyAlignment="1">
      <alignment horizontal="center"/>
    </xf>
    <xf numFmtId="188" fontId="4" fillId="0" borderId="12" xfId="2" applyNumberFormat="1" applyFont="1" applyFill="1" applyBorder="1" applyAlignment="1">
      <alignment horizontal="center"/>
    </xf>
    <xf numFmtId="188" fontId="4" fillId="0" borderId="8" xfId="2" applyNumberFormat="1" applyFont="1" applyFill="1" applyBorder="1" applyAlignment="1">
      <alignment horizontal="center"/>
    </xf>
    <xf numFmtId="0" fontId="4" fillId="0" borderId="1" xfId="2" applyFont="1" applyFill="1" applyBorder="1" applyAlignment="1">
      <alignment horizontal="center"/>
    </xf>
    <xf numFmtId="0" fontId="4" fillId="0" borderId="9" xfId="2" applyFont="1" applyFill="1" applyBorder="1" applyAlignment="1">
      <alignment horizontal="center"/>
    </xf>
    <xf numFmtId="43" fontId="4" fillId="0" borderId="23" xfId="2" applyNumberFormat="1" applyFont="1" applyFill="1" applyBorder="1" applyAlignment="1">
      <alignment horizontal="center"/>
    </xf>
    <xf numFmtId="188" fontId="5" fillId="0" borderId="0" xfId="2" applyNumberFormat="1" applyFont="1" applyFill="1" applyBorder="1" applyAlignment="1">
      <alignment horizontal="center"/>
    </xf>
    <xf numFmtId="0" fontId="5" fillId="0" borderId="0" xfId="2" applyFont="1" applyFill="1" applyBorder="1" applyAlignment="1"/>
    <xf numFmtId="1" fontId="5" fillId="0" borderId="16" xfId="2" applyNumberFormat="1" applyFont="1" applyFill="1" applyBorder="1" applyAlignment="1">
      <alignment horizontal="center"/>
    </xf>
    <xf numFmtId="188" fontId="5" fillId="0" borderId="16" xfId="2" applyNumberFormat="1" applyFont="1" applyFill="1" applyBorder="1" applyAlignment="1">
      <alignment horizontal="center"/>
    </xf>
    <xf numFmtId="188" fontId="5" fillId="0" borderId="24" xfId="2" applyNumberFormat="1" applyFont="1" applyFill="1" applyBorder="1" applyAlignment="1">
      <alignment horizontal="center"/>
    </xf>
    <xf numFmtId="0" fontId="5" fillId="0" borderId="24" xfId="2" applyFont="1" applyFill="1" applyBorder="1" applyAlignment="1"/>
    <xf numFmtId="0" fontId="5" fillId="0" borderId="25" xfId="2" applyFont="1" applyFill="1" applyBorder="1" applyAlignment="1"/>
    <xf numFmtId="43" fontId="5" fillId="0" borderId="15" xfId="2" applyNumberFormat="1" applyFont="1" applyFill="1" applyBorder="1"/>
    <xf numFmtId="1" fontId="5" fillId="0" borderId="0" xfId="2" applyNumberFormat="1" applyFont="1" applyFill="1" applyBorder="1" applyAlignment="1">
      <alignment horizontal="center"/>
    </xf>
    <xf numFmtId="39" fontId="5" fillId="0" borderId="0" xfId="2" applyNumberFormat="1" applyFont="1" applyFill="1" applyBorder="1"/>
    <xf numFmtId="1" fontId="6" fillId="0" borderId="0" xfId="2" applyNumberFormat="1" applyFont="1" applyFill="1" applyAlignment="1">
      <alignment horizontal="center"/>
    </xf>
    <xf numFmtId="188" fontId="6" fillId="0" borderId="0" xfId="2" applyNumberFormat="1" applyFont="1" applyFill="1" applyAlignment="1">
      <alignment horizontal="center"/>
    </xf>
    <xf numFmtId="43" fontId="6" fillId="0" borderId="0" xfId="2" applyNumberFormat="1" applyFont="1" applyFill="1"/>
    <xf numFmtId="0" fontId="6" fillId="0" borderId="0" xfId="2" applyFont="1" applyFill="1"/>
    <xf numFmtId="0" fontId="0" fillId="5" borderId="11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7" borderId="0" xfId="0" applyFill="1" applyBorder="1"/>
    <xf numFmtId="0" fontId="0" fillId="7" borderId="19" xfId="0" applyFill="1" applyBorder="1"/>
    <xf numFmtId="0" fontId="0" fillId="8" borderId="26" xfId="0" applyFill="1" applyBorder="1"/>
    <xf numFmtId="0" fontId="0" fillId="8" borderId="0" xfId="0" applyFill="1" applyBorder="1"/>
    <xf numFmtId="0" fontId="0" fillId="8" borderId="19" xfId="0" applyFill="1" applyBorder="1"/>
    <xf numFmtId="0" fontId="0" fillId="8" borderId="27" xfId="0" applyFill="1" applyBorder="1"/>
    <xf numFmtId="0" fontId="0" fillId="8" borderId="28" xfId="0" applyFill="1" applyBorder="1"/>
    <xf numFmtId="0" fontId="0" fillId="8" borderId="18" xfId="0" applyFill="1" applyBorder="1"/>
    <xf numFmtId="0" fontId="0" fillId="7" borderId="18" xfId="0" applyFill="1" applyBorder="1"/>
    <xf numFmtId="0" fontId="17" fillId="7" borderId="19" xfId="0" applyFont="1" applyFill="1" applyBorder="1" applyAlignment="1">
      <alignment horizontal="centerContinuous"/>
    </xf>
    <xf numFmtId="0" fontId="0" fillId="7" borderId="20" xfId="0" applyFill="1" applyBorder="1"/>
    <xf numFmtId="0" fontId="0" fillId="7" borderId="21" xfId="0" applyFill="1" applyBorder="1"/>
    <xf numFmtId="0" fontId="0" fillId="5" borderId="11" xfId="0" applyFill="1" applyBorder="1" applyAlignment="1"/>
    <xf numFmtId="43" fontId="22" fillId="0" borderId="17" xfId="6" applyNumberFormat="1" applyFont="1" applyBorder="1" applyAlignment="1">
      <alignment horizontal="center" vertical="center" wrapText="1"/>
    </xf>
    <xf numFmtId="43" fontId="22" fillId="0" borderId="17" xfId="1" applyFont="1" applyBorder="1" applyAlignment="1">
      <alignment horizontal="center" vertical="center" wrapText="1"/>
    </xf>
    <xf numFmtId="0" fontId="22" fillId="0" borderId="0" xfId="6" applyFont="1" applyAlignment="1">
      <alignment horizontal="center" vertical="center" wrapText="1"/>
    </xf>
    <xf numFmtId="1" fontId="23" fillId="0" borderId="4" xfId="0" applyNumberFormat="1" applyFont="1" applyBorder="1" applyAlignment="1">
      <alignment horizontal="center"/>
    </xf>
    <xf numFmtId="0" fontId="23" fillId="0" borderId="4" xfId="0" applyNumberFormat="1" applyFont="1" applyBorder="1" applyAlignment="1">
      <alignment horizontal="center"/>
    </xf>
    <xf numFmtId="0" fontId="23" fillId="0" borderId="0" xfId="0" applyFont="1"/>
    <xf numFmtId="0" fontId="23" fillId="0" borderId="4" xfId="0" applyFont="1" applyBorder="1"/>
    <xf numFmtId="0" fontId="23" fillId="0" borderId="6" xfId="0" applyFont="1" applyBorder="1"/>
    <xf numFmtId="0" fontId="23" fillId="0" borderId="7" xfId="0" applyFont="1" applyBorder="1"/>
    <xf numFmtId="188" fontId="23" fillId="0" borderId="4" xfId="0" applyNumberFormat="1" applyFont="1" applyBorder="1" applyAlignment="1">
      <alignment horizontal="center"/>
    </xf>
    <xf numFmtId="1" fontId="24" fillId="0" borderId="0" xfId="0" applyNumberFormat="1" applyFont="1" applyAlignment="1">
      <alignment horizontal="center"/>
    </xf>
    <xf numFmtId="0" fontId="24" fillId="0" borderId="0" xfId="0" applyFont="1"/>
    <xf numFmtId="43" fontId="24" fillId="0" borderId="0" xfId="0" applyNumberFormat="1" applyFont="1" applyAlignment="1">
      <alignment horizontal="center"/>
    </xf>
    <xf numFmtId="191" fontId="23" fillId="0" borderId="4" xfId="0" applyNumberFormat="1" applyFont="1" applyBorder="1" applyAlignment="1"/>
    <xf numFmtId="43" fontId="5" fillId="9" borderId="4" xfId="2" applyNumberFormat="1" applyFont="1" applyFill="1" applyBorder="1"/>
    <xf numFmtId="196" fontId="23" fillId="0" borderId="4" xfId="0" applyNumberFormat="1" applyFont="1" applyBorder="1" applyAlignment="1">
      <alignment horizontal="center"/>
    </xf>
    <xf numFmtId="43" fontId="23" fillId="0" borderId="4" xfId="1" applyFont="1" applyBorder="1" applyAlignment="1">
      <alignment horizontal="center"/>
    </xf>
    <xf numFmtId="43" fontId="24" fillId="0" borderId="0" xfId="1" applyFont="1" applyAlignment="1">
      <alignment horizontal="center"/>
    </xf>
    <xf numFmtId="43" fontId="4" fillId="0" borderId="17" xfId="0" applyNumberFormat="1" applyFont="1" applyBorder="1" applyAlignment="1">
      <alignment horizontal="center"/>
    </xf>
    <xf numFmtId="1" fontId="5" fillId="0" borderId="6" xfId="0" applyNumberFormat="1" applyFont="1" applyFill="1" applyBorder="1" applyAlignment="1"/>
    <xf numFmtId="43" fontId="4" fillId="0" borderId="0" xfId="2" applyNumberFormat="1" applyFont="1" applyFill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43" fontId="29" fillId="0" borderId="0" xfId="1" quotePrefix="1" applyFont="1" applyAlignment="1">
      <alignment horizontal="left"/>
    </xf>
    <xf numFmtId="0" fontId="15" fillId="0" borderId="0" xfId="8"/>
    <xf numFmtId="43" fontId="15" fillId="0" borderId="0" xfId="1" applyFont="1"/>
    <xf numFmtId="43" fontId="15" fillId="0" borderId="0" xfId="1" applyFont="1" applyAlignment="1"/>
    <xf numFmtId="192" fontId="30" fillId="0" borderId="0" xfId="1" quotePrefix="1" applyNumberFormat="1" applyFont="1" applyAlignment="1">
      <alignment horizontal="left"/>
    </xf>
    <xf numFmtId="40" fontId="30" fillId="0" borderId="0" xfId="1" applyNumberFormat="1" applyFont="1" applyAlignment="1"/>
    <xf numFmtId="40" fontId="30" fillId="0" borderId="0" xfId="1" applyNumberFormat="1" applyFont="1" applyBorder="1" applyAlignment="1"/>
    <xf numFmtId="40" fontId="15" fillId="0" borderId="0" xfId="1" applyNumberFormat="1" applyFont="1" applyAlignment="1"/>
    <xf numFmtId="43" fontId="15" fillId="0" borderId="0" xfId="1" applyFont="1" applyProtection="1">
      <protection locked="0"/>
    </xf>
    <xf numFmtId="43" fontId="31" fillId="0" borderId="0" xfId="1" quotePrefix="1" applyFont="1" applyAlignment="1">
      <alignment horizontal="left"/>
    </xf>
    <xf numFmtId="192" fontId="15" fillId="0" borderId="0" xfId="1" applyNumberFormat="1" applyFont="1" applyAlignment="1">
      <alignment horizontal="center"/>
    </xf>
    <xf numFmtId="40" fontId="30" fillId="0" borderId="0" xfId="8" applyNumberFormat="1" applyFont="1" applyAlignment="1"/>
    <xf numFmtId="40" fontId="30" fillId="0" borderId="0" xfId="8" applyNumberFormat="1" applyFont="1" applyBorder="1" applyAlignment="1"/>
    <xf numFmtId="40" fontId="15" fillId="0" borderId="0" xfId="8" applyNumberFormat="1" applyFont="1" applyAlignment="1"/>
    <xf numFmtId="0" fontId="15" fillId="0" borderId="0" xfId="8" applyProtection="1">
      <protection locked="0"/>
    </xf>
    <xf numFmtId="43" fontId="15" fillId="0" borderId="0" xfId="1" quotePrefix="1" applyFont="1" applyAlignment="1">
      <alignment horizontal="left"/>
    </xf>
    <xf numFmtId="43" fontId="30" fillId="0" borderId="0" xfId="8" applyNumberFormat="1" applyFont="1" applyAlignment="1">
      <alignment horizontal="center"/>
    </xf>
    <xf numFmtId="43" fontId="30" fillId="0" borderId="0" xfId="8" applyNumberFormat="1" applyFont="1" applyAlignment="1">
      <alignment horizontal="right"/>
    </xf>
    <xf numFmtId="0" fontId="15" fillId="0" borderId="0" xfId="8" applyAlignment="1">
      <alignment horizontal="centerContinuous"/>
    </xf>
    <xf numFmtId="43" fontId="30" fillId="0" borderId="10" xfId="8" applyNumberFormat="1" applyFont="1" applyFill="1" applyBorder="1" applyAlignment="1" applyProtection="1">
      <alignment horizontal="centerContinuous" vertical="center" wrapText="1"/>
      <protection locked="0"/>
    </xf>
    <xf numFmtId="0" fontId="30" fillId="0" borderId="23" xfId="8" applyFont="1" applyFill="1" applyBorder="1" applyAlignment="1" applyProtection="1">
      <alignment horizontal="centerContinuous" vertical="center" wrapText="1"/>
      <protection locked="0"/>
    </xf>
    <xf numFmtId="0" fontId="30" fillId="0" borderId="11" xfId="8" applyFont="1" applyBorder="1" applyAlignment="1">
      <alignment horizontal="center" vertical="center" wrapText="1"/>
    </xf>
    <xf numFmtId="0" fontId="30" fillId="0" borderId="11" xfId="8" quotePrefix="1" applyFont="1" applyBorder="1" applyAlignment="1">
      <alignment horizontal="center" vertical="center" wrapText="1"/>
    </xf>
    <xf numFmtId="40" fontId="30" fillId="0" borderId="0" xfId="1" applyNumberFormat="1" applyFont="1" applyBorder="1" applyAlignment="1">
      <alignment horizontal="center"/>
    </xf>
    <xf numFmtId="0" fontId="15" fillId="0" borderId="11" xfId="8" quotePrefix="1" applyBorder="1" applyAlignment="1">
      <alignment horizontal="center" vertical="center" wrapText="1"/>
    </xf>
    <xf numFmtId="43" fontId="15" fillId="0" borderId="0" xfId="1" applyFont="1" applyAlignment="1">
      <alignment horizontal="left"/>
    </xf>
    <xf numFmtId="43" fontId="15" fillId="0" borderId="0" xfId="1" applyFont="1" applyFill="1"/>
    <xf numFmtId="192" fontId="15" fillId="0" borderId="0" xfId="1" applyNumberFormat="1" applyFont="1" applyFill="1" applyAlignment="1">
      <alignment horizontal="center"/>
    </xf>
    <xf numFmtId="43" fontId="30" fillId="0" borderId="0" xfId="1" applyFont="1" applyAlignment="1"/>
    <xf numFmtId="43" fontId="15" fillId="0" borderId="29" xfId="1" applyFont="1" applyBorder="1"/>
    <xf numFmtId="40" fontId="30" fillId="0" borderId="29" xfId="1" applyNumberFormat="1" applyFont="1" applyBorder="1" applyAlignment="1"/>
    <xf numFmtId="40" fontId="15" fillId="0" borderId="29" xfId="1" applyNumberFormat="1" applyFont="1" applyBorder="1" applyAlignment="1"/>
    <xf numFmtId="192" fontId="15" fillId="0" borderId="0" xfId="1" applyNumberFormat="1" applyFont="1" applyAlignment="1" applyProtection="1">
      <alignment horizontal="center"/>
      <protection locked="0"/>
    </xf>
    <xf numFmtId="0" fontId="15" fillId="0" borderId="0" xfId="8" quotePrefix="1" applyAlignment="1">
      <alignment horizontal="left"/>
    </xf>
    <xf numFmtId="43" fontId="15" fillId="0" borderId="11" xfId="1" applyFont="1" applyBorder="1" applyAlignment="1">
      <alignment horizontal="centerContinuous"/>
    </xf>
    <xf numFmtId="0" fontId="15" fillId="0" borderId="11" xfId="8" applyBorder="1" applyAlignment="1">
      <alignment horizontal="centerContinuous"/>
    </xf>
    <xf numFmtId="43" fontId="15" fillId="0" borderId="0" xfId="1" applyFont="1" applyAlignment="1">
      <alignment horizontal="center"/>
    </xf>
    <xf numFmtId="198" fontId="15" fillId="0" borderId="11" xfId="1" applyNumberFormat="1" applyFont="1" applyBorder="1" applyAlignment="1">
      <alignment horizontal="centerContinuous"/>
    </xf>
    <xf numFmtId="43" fontId="30" fillId="0" borderId="0" xfId="1" quotePrefix="1" applyFont="1" applyAlignment="1">
      <alignment horizontal="left"/>
    </xf>
    <xf numFmtId="192" fontId="15" fillId="0" borderId="0" xfId="1" quotePrefix="1" applyNumberFormat="1" applyFont="1" applyAlignment="1">
      <alignment horizontal="center"/>
    </xf>
    <xf numFmtId="40" fontId="30" fillId="0" borderId="30" xfId="1" quotePrefix="1" applyNumberFormat="1" applyFont="1" applyBorder="1" applyAlignment="1"/>
    <xf numFmtId="40" fontId="30" fillId="0" borderId="0" xfId="1" quotePrefix="1" applyNumberFormat="1" applyFont="1" applyBorder="1" applyAlignment="1"/>
    <xf numFmtId="40" fontId="15" fillId="0" borderId="30" xfId="1" quotePrefix="1" applyNumberFormat="1" applyFont="1" applyBorder="1" applyAlignment="1"/>
    <xf numFmtId="40" fontId="15" fillId="0" borderId="11" xfId="1" quotePrefix="1" applyNumberFormat="1" applyFont="1" applyBorder="1" applyAlignment="1"/>
    <xf numFmtId="43" fontId="15" fillId="0" borderId="0" xfId="8" applyNumberFormat="1"/>
    <xf numFmtId="40" fontId="32" fillId="0" borderId="0" xfId="1" applyNumberFormat="1" applyFont="1" applyAlignment="1"/>
    <xf numFmtId="40" fontId="32" fillId="0" borderId="0" xfId="1" applyNumberFormat="1" applyFont="1" applyBorder="1" applyAlignment="1"/>
    <xf numFmtId="192" fontId="15" fillId="0" borderId="0" xfId="1" applyNumberFormat="1" applyFont="1" applyAlignment="1" applyProtection="1">
      <alignment horizontal="left"/>
      <protection locked="0"/>
    </xf>
    <xf numFmtId="43" fontId="30" fillId="0" borderId="0" xfId="1" applyFont="1" applyAlignment="1">
      <alignment horizontal="left"/>
    </xf>
    <xf numFmtId="40" fontId="30" fillId="0" borderId="30" xfId="1" applyNumberFormat="1" applyFont="1" applyBorder="1" applyAlignment="1"/>
    <xf numFmtId="40" fontId="15" fillId="0" borderId="0" xfId="1" applyNumberFormat="1" applyFont="1" applyBorder="1" applyAlignment="1"/>
    <xf numFmtId="192" fontId="33" fillId="0" borderId="0" xfId="1" applyNumberFormat="1" applyFont="1" applyAlignment="1">
      <alignment horizontal="right"/>
    </xf>
    <xf numFmtId="40" fontId="34" fillId="0" borderId="30" xfId="1" applyNumberFormat="1" applyFont="1" applyBorder="1" applyAlignment="1"/>
    <xf numFmtId="43" fontId="15" fillId="0" borderId="0" xfId="1" quotePrefix="1" applyFont="1" applyAlignment="1"/>
    <xf numFmtId="40" fontId="34" fillId="0" borderId="0" xfId="1" applyNumberFormat="1" applyFont="1" applyBorder="1" applyAlignment="1"/>
    <xf numFmtId="43" fontId="30" fillId="0" borderId="11" xfId="1" quotePrefix="1" applyFont="1" applyBorder="1" applyAlignment="1"/>
    <xf numFmtId="43" fontId="30" fillId="0" borderId="11" xfId="1" applyFont="1" applyBorder="1" applyAlignment="1">
      <alignment horizontal="center"/>
    </xf>
    <xf numFmtId="0" fontId="30" fillId="0" borderId="11" xfId="8" applyFont="1" applyBorder="1"/>
    <xf numFmtId="43" fontId="30" fillId="0" borderId="11" xfId="1" quotePrefix="1" applyFont="1" applyBorder="1" applyAlignment="1">
      <alignment horizontal="left"/>
    </xf>
    <xf numFmtId="192" fontId="30" fillId="0" borderId="11" xfId="1" applyNumberFormat="1" applyFont="1" applyBorder="1" applyAlignment="1">
      <alignment horizontal="center"/>
    </xf>
    <xf numFmtId="0" fontId="15" fillId="0" borderId="0" xfId="8" quotePrefix="1" applyAlignment="1">
      <alignment horizontal="center"/>
    </xf>
    <xf numFmtId="9" fontId="15" fillId="0" borderId="0" xfId="10" applyFont="1" applyAlignment="1">
      <alignment horizontal="center"/>
    </xf>
    <xf numFmtId="43" fontId="15" fillId="0" borderId="0" xfId="1" applyFont="1" applyAlignment="1" applyProtection="1">
      <alignment horizontal="center"/>
      <protection locked="0"/>
    </xf>
    <xf numFmtId="43" fontId="15" fillId="0" borderId="0" xfId="1" quotePrefix="1" applyFont="1" applyAlignment="1">
      <alignment horizontal="center"/>
    </xf>
    <xf numFmtId="0" fontId="30" fillId="0" borderId="0" xfId="8" applyFont="1" applyAlignment="1">
      <alignment horizontal="center"/>
    </xf>
    <xf numFmtId="0" fontId="30" fillId="0" borderId="0" xfId="8" applyFont="1"/>
    <xf numFmtId="43" fontId="30" fillId="0" borderId="30" xfId="1" applyFont="1" applyBorder="1"/>
    <xf numFmtId="197" fontId="31" fillId="0" borderId="0" xfId="1" applyNumberFormat="1" applyFont="1" applyAlignment="1"/>
    <xf numFmtId="0" fontId="30" fillId="0" borderId="11" xfId="0" applyFont="1" applyBorder="1"/>
    <xf numFmtId="43" fontId="0" fillId="0" borderId="0" xfId="1" applyFont="1" applyAlignment="1"/>
    <xf numFmtId="43" fontId="0" fillId="0" borderId="0" xfId="1" applyFont="1"/>
    <xf numFmtId="0" fontId="30" fillId="0" borderId="0" xfId="0" applyFont="1" applyAlignment="1">
      <alignment horizontal="center"/>
    </xf>
    <xf numFmtId="0" fontId="30" fillId="0" borderId="0" xfId="0" applyFont="1"/>
    <xf numFmtId="43" fontId="30" fillId="0" borderId="30" xfId="1" quotePrefix="1" applyFont="1" applyBorder="1"/>
    <xf numFmtId="40" fontId="15" fillId="0" borderId="0" xfId="0" applyNumberFormat="1" applyFont="1" applyAlignment="1"/>
    <xf numFmtId="40" fontId="30" fillId="0" borderId="0" xfId="0" applyNumberFormat="1" applyFont="1" applyBorder="1" applyAlignment="1"/>
    <xf numFmtId="0" fontId="15" fillId="0" borderId="0" xfId="8" applyFont="1"/>
    <xf numFmtId="0" fontId="15" fillId="0" borderId="11" xfId="8" quotePrefix="1" applyFont="1" applyBorder="1" applyAlignment="1">
      <alignment horizontal="center" vertical="center" wrapText="1"/>
    </xf>
    <xf numFmtId="43" fontId="15" fillId="0" borderId="11" xfId="1" applyFont="1" applyFill="1" applyBorder="1" applyProtection="1">
      <protection locked="0"/>
    </xf>
    <xf numFmtId="43" fontId="15" fillId="0" borderId="0" xfId="1" applyFont="1" applyFill="1" applyAlignment="1">
      <alignment horizontal="center"/>
    </xf>
    <xf numFmtId="43" fontId="15" fillId="0" borderId="0" xfId="1" applyFont="1" applyFill="1" applyAlignment="1">
      <alignment horizontal="left"/>
    </xf>
    <xf numFmtId="43" fontId="15" fillId="0" borderId="31" xfId="1" applyFont="1" applyFill="1" applyBorder="1" applyProtection="1">
      <protection locked="0"/>
    </xf>
    <xf numFmtId="40" fontId="35" fillId="0" borderId="0" xfId="1" applyNumberFormat="1" applyFont="1" applyAlignment="1"/>
    <xf numFmtId="43" fontId="23" fillId="9" borderId="4" xfId="1" applyFont="1" applyFill="1" applyBorder="1" applyAlignment="1">
      <alignment horizontal="center"/>
    </xf>
    <xf numFmtId="0" fontId="15" fillId="0" borderId="0" xfId="8" quotePrefix="1" applyFont="1" applyAlignment="1">
      <alignment horizontal="left"/>
    </xf>
    <xf numFmtId="49" fontId="15" fillId="0" borderId="0" xfId="1" applyNumberFormat="1" applyFont="1" applyFill="1" applyAlignment="1">
      <alignment horizontal="center"/>
    </xf>
    <xf numFmtId="43" fontId="15" fillId="0" borderId="11" xfId="1" applyFont="1" applyFill="1" applyBorder="1" applyAlignment="1">
      <alignment horizontal="center" vertical="center"/>
    </xf>
    <xf numFmtId="43" fontId="15" fillId="0" borderId="32" xfId="1" applyFont="1" applyFill="1" applyBorder="1"/>
    <xf numFmtId="192" fontId="15" fillId="0" borderId="32" xfId="1" applyNumberFormat="1" applyFont="1" applyFill="1" applyBorder="1" applyAlignment="1" applyProtection="1">
      <alignment horizontal="center"/>
      <protection locked="0"/>
    </xf>
    <xf numFmtId="43" fontId="15" fillId="0" borderId="33" xfId="1" applyFont="1" applyFill="1" applyBorder="1"/>
    <xf numFmtId="43" fontId="15" fillId="0" borderId="31" xfId="1" applyFont="1" applyFill="1" applyBorder="1"/>
    <xf numFmtId="43" fontId="15" fillId="0" borderId="34" xfId="1" applyFont="1" applyFill="1" applyBorder="1"/>
    <xf numFmtId="0" fontId="2" fillId="0" borderId="17" xfId="2" applyFont="1" applyFill="1" applyBorder="1" applyAlignment="1">
      <alignment horizontal="center"/>
    </xf>
    <xf numFmtId="0" fontId="2" fillId="0" borderId="4" xfId="2" applyFont="1" applyFill="1" applyBorder="1"/>
    <xf numFmtId="0" fontId="4" fillId="0" borderId="4" xfId="2" applyFont="1" applyFill="1" applyBorder="1" applyAlignment="1">
      <alignment horizontal="center"/>
    </xf>
    <xf numFmtId="0" fontId="4" fillId="0" borderId="12" xfId="2" applyFont="1" applyFill="1" applyBorder="1" applyAlignment="1">
      <alignment horizontal="center" vertical="center"/>
    </xf>
    <xf numFmtId="1" fontId="15" fillId="5" borderId="11" xfId="1" applyNumberFormat="1" applyFont="1" applyFill="1" applyBorder="1" applyAlignment="1" applyProtection="1">
      <alignment horizontal="center"/>
      <protection locked="0"/>
    </xf>
    <xf numFmtId="43" fontId="15" fillId="0" borderId="0" xfId="1" applyFont="1" applyFill="1" applyProtection="1">
      <protection locked="0"/>
    </xf>
    <xf numFmtId="43" fontId="15" fillId="0" borderId="11" xfId="1" applyFont="1" applyFill="1" applyBorder="1" applyAlignment="1" applyProtection="1">
      <alignment horizontal="center" vertical="center"/>
      <protection locked="0"/>
    </xf>
    <xf numFmtId="43" fontId="15" fillId="0" borderId="32" xfId="1" applyFont="1" applyFill="1" applyBorder="1" applyProtection="1">
      <protection locked="0"/>
    </xf>
    <xf numFmtId="43" fontId="15" fillId="0" borderId="33" xfId="1" applyFont="1" applyFill="1" applyBorder="1" applyProtection="1">
      <protection locked="0"/>
    </xf>
    <xf numFmtId="43" fontId="15" fillId="0" borderId="34" xfId="1" applyFont="1" applyFill="1" applyBorder="1" applyProtection="1">
      <protection locked="0"/>
    </xf>
    <xf numFmtId="43" fontId="15" fillId="0" borderId="11" xfId="1" applyFont="1" applyFill="1" applyBorder="1" applyProtection="1"/>
    <xf numFmtId="43" fontId="15" fillId="0" borderId="31" xfId="1" applyFont="1" applyFill="1" applyBorder="1" applyProtection="1"/>
    <xf numFmtId="192" fontId="15" fillId="0" borderId="0" xfId="1" applyNumberFormat="1" applyFont="1" applyProtection="1">
      <protection locked="0"/>
    </xf>
    <xf numFmtId="43" fontId="4" fillId="9" borderId="11" xfId="2" applyNumberFormat="1" applyFont="1" applyFill="1" applyBorder="1" applyAlignment="1">
      <alignment horizontal="center"/>
    </xf>
    <xf numFmtId="43" fontId="4" fillId="9" borderId="12" xfId="2" applyNumberFormat="1" applyFont="1" applyFill="1" applyBorder="1" applyAlignment="1">
      <alignment horizontal="center"/>
    </xf>
    <xf numFmtId="0" fontId="23" fillId="0" borderId="0" xfId="0" applyFont="1" applyBorder="1"/>
    <xf numFmtId="0" fontId="0" fillId="0" borderId="0" xfId="0" applyAlignment="1">
      <alignment horizontal="center"/>
    </xf>
    <xf numFmtId="0" fontId="25" fillId="0" borderId="17" xfId="0" applyFont="1" applyFill="1" applyBorder="1" applyAlignment="1">
      <alignment horizontal="center"/>
    </xf>
    <xf numFmtId="0" fontId="25" fillId="0" borderId="29" xfId="0" applyFont="1" applyBorder="1" applyAlignment="1">
      <alignment horizontal="centerContinuous"/>
    </xf>
    <xf numFmtId="0" fontId="37" fillId="10" borderId="35" xfId="0" applyFont="1" applyFill="1" applyBorder="1" applyAlignment="1">
      <alignment horizontal="center"/>
    </xf>
    <xf numFmtId="0" fontId="38" fillId="0" borderId="12" xfId="0" applyFont="1" applyFill="1" applyBorder="1"/>
    <xf numFmtId="0" fontId="37" fillId="10" borderId="36" xfId="0" applyFont="1" applyFill="1" applyBorder="1" applyAlignment="1">
      <alignment horizontal="center"/>
    </xf>
    <xf numFmtId="0" fontId="39" fillId="0" borderId="4" xfId="0" applyFont="1" applyFill="1" applyBorder="1"/>
    <xf numFmtId="187" fontId="40" fillId="0" borderId="7" xfId="0" applyNumberFormat="1" applyFont="1" applyBorder="1"/>
    <xf numFmtId="187" fontId="41" fillId="10" borderId="37" xfId="0" applyNumberFormat="1" applyFont="1" applyFill="1" applyBorder="1"/>
    <xf numFmtId="0" fontId="42" fillId="11" borderId="38" xfId="0" applyFont="1" applyFill="1" applyBorder="1" applyAlignment="1">
      <alignment horizontal="center"/>
    </xf>
    <xf numFmtId="187" fontId="42" fillId="11" borderId="39" xfId="0" applyNumberFormat="1" applyFont="1" applyFill="1" applyBorder="1"/>
    <xf numFmtId="187" fontId="41" fillId="10" borderId="40" xfId="0" applyNumberFormat="1" applyFont="1" applyFill="1" applyBorder="1"/>
    <xf numFmtId="0" fontId="26" fillId="0" borderId="0" xfId="0" applyFont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37" fillId="10" borderId="36" xfId="0" applyFont="1" applyFill="1" applyBorder="1"/>
    <xf numFmtId="187" fontId="40" fillId="0" borderId="41" xfId="0" applyNumberFormat="1" applyFont="1" applyBorder="1"/>
    <xf numFmtId="0" fontId="26" fillId="0" borderId="0" xfId="0" applyFont="1" applyFill="1"/>
    <xf numFmtId="0" fontId="25" fillId="0" borderId="0" xfId="0" applyFont="1" applyAlignment="1">
      <alignment horizontal="right"/>
    </xf>
    <xf numFmtId="0" fontId="26" fillId="0" borderId="42" xfId="0" applyFont="1" applyBorder="1" applyAlignment="1">
      <alignment horizontal="left"/>
    </xf>
    <xf numFmtId="0" fontId="26" fillId="0" borderId="0" xfId="0" applyFont="1" applyBorder="1" applyAlignment="1"/>
    <xf numFmtId="0" fontId="26" fillId="0" borderId="0" xfId="0" applyFont="1" applyAlignment="1"/>
    <xf numFmtId="0" fontId="25" fillId="0" borderId="0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43" fillId="0" borderId="0" xfId="0" applyFont="1"/>
    <xf numFmtId="0" fontId="45" fillId="0" borderId="0" xfId="0" applyFont="1" applyAlignment="1">
      <alignment horizontal="center"/>
    </xf>
    <xf numFmtId="199" fontId="44" fillId="0" borderId="0" xfId="0" applyNumberFormat="1" applyFont="1" applyAlignment="1">
      <alignment horizontal="left"/>
    </xf>
    <xf numFmtId="0" fontId="44" fillId="0" borderId="0" xfId="0" applyFont="1" applyAlignment="1">
      <alignment horizontal="left"/>
    </xf>
    <xf numFmtId="196" fontId="44" fillId="0" borderId="0" xfId="0" applyNumberFormat="1" applyFont="1" applyAlignment="1">
      <alignment horizontal="left"/>
    </xf>
    <xf numFmtId="190" fontId="46" fillId="0" borderId="5" xfId="0" applyNumberFormat="1" applyFont="1" applyBorder="1" applyAlignment="1">
      <alignment horizontal="center"/>
    </xf>
    <xf numFmtId="188" fontId="46" fillId="0" borderId="7" xfId="0" applyNumberFormat="1" applyFont="1" applyBorder="1" applyAlignment="1">
      <alignment horizontal="center"/>
    </xf>
    <xf numFmtId="0" fontId="46" fillId="0" borderId="9" xfId="0" applyFont="1" applyBorder="1" applyAlignment="1">
      <alignment horizontal="center"/>
    </xf>
    <xf numFmtId="1" fontId="5" fillId="9" borderId="16" xfId="2" applyNumberFormat="1" applyFont="1" applyFill="1" applyBorder="1" applyAlignment="1">
      <alignment horizontal="center"/>
    </xf>
    <xf numFmtId="188" fontId="5" fillId="9" borderId="16" xfId="2" applyNumberFormat="1" applyFont="1" applyFill="1" applyBorder="1" applyAlignment="1">
      <alignment horizontal="center"/>
    </xf>
    <xf numFmtId="43" fontId="5" fillId="9" borderId="15" xfId="2" applyNumberFormat="1" applyFont="1" applyFill="1" applyBorder="1"/>
    <xf numFmtId="1" fontId="10" fillId="0" borderId="6" xfId="3" applyNumberFormat="1" applyFont="1" applyBorder="1" applyAlignment="1">
      <alignment horizontal="center"/>
    </xf>
    <xf numFmtId="0" fontId="26" fillId="0" borderId="0" xfId="1" applyNumberFormat="1" applyFont="1" applyBorder="1" applyAlignment="1"/>
    <xf numFmtId="43" fontId="25" fillId="0" borderId="11" xfId="0" applyNumberFormat="1" applyFont="1" applyBorder="1" applyAlignment="1">
      <alignment horizontal="center"/>
    </xf>
    <xf numFmtId="43" fontId="25" fillId="0" borderId="9" xfId="0" applyNumberFormat="1" applyFont="1" applyBorder="1" applyAlignment="1">
      <alignment horizontal="center"/>
    </xf>
    <xf numFmtId="43" fontId="25" fillId="0" borderId="43" xfId="0" applyNumberFormat="1" applyFont="1" applyBorder="1" applyAlignment="1">
      <alignment horizontal="center"/>
    </xf>
    <xf numFmtId="0" fontId="17" fillId="7" borderId="22" xfId="0" applyFont="1" applyFill="1" applyBorder="1" applyAlignment="1">
      <alignment horizontal="centerContinuous"/>
    </xf>
    <xf numFmtId="0" fontId="47" fillId="7" borderId="18" xfId="0" applyFont="1" applyFill="1" applyBorder="1"/>
    <xf numFmtId="0" fontId="47" fillId="7" borderId="0" xfId="0" applyFont="1" applyFill="1" applyBorder="1"/>
    <xf numFmtId="0" fontId="47" fillId="7" borderId="19" xfId="0" applyFont="1" applyFill="1" applyBorder="1"/>
    <xf numFmtId="0" fontId="48" fillId="7" borderId="19" xfId="0" applyFont="1" applyFill="1" applyBorder="1" applyAlignment="1">
      <alignment horizontal="centerContinuous"/>
    </xf>
    <xf numFmtId="0" fontId="0" fillId="12" borderId="18" xfId="0" applyFill="1" applyBorder="1"/>
    <xf numFmtId="0" fontId="0" fillId="12" borderId="20" xfId="0" applyFill="1" applyBorder="1"/>
    <xf numFmtId="0" fontId="28" fillId="12" borderId="27" xfId="0" applyFont="1" applyFill="1" applyBorder="1" applyAlignment="1">
      <alignment horizontal="centerContinuous"/>
    </xf>
    <xf numFmtId="0" fontId="0" fillId="12" borderId="28" xfId="0" applyFill="1" applyBorder="1" applyAlignment="1">
      <alignment horizontal="centerContinuous"/>
    </xf>
    <xf numFmtId="0" fontId="0" fillId="12" borderId="19" xfId="0" applyFill="1" applyBorder="1"/>
    <xf numFmtId="0" fontId="21" fillId="12" borderId="19" xfId="0" applyFont="1" applyFill="1" applyBorder="1"/>
    <xf numFmtId="0" fontId="28" fillId="12" borderId="19" xfId="0" applyFont="1" applyFill="1" applyBorder="1"/>
    <xf numFmtId="0" fontId="0" fillId="12" borderId="22" xfId="0" applyFill="1" applyBorder="1"/>
    <xf numFmtId="0" fontId="49" fillId="3" borderId="26" xfId="0" applyFont="1" applyFill="1" applyBorder="1" applyAlignment="1">
      <alignment horizontal="centerContinuous"/>
    </xf>
    <xf numFmtId="0" fontId="49" fillId="3" borderId="28" xfId="0" applyFont="1" applyFill="1" applyBorder="1" applyAlignment="1">
      <alignment horizontal="centerContinuous"/>
    </xf>
    <xf numFmtId="0" fontId="49" fillId="7" borderId="27" xfId="0" applyFont="1" applyFill="1" applyBorder="1" applyAlignment="1">
      <alignment horizontal="centerContinuous"/>
    </xf>
    <xf numFmtId="0" fontId="49" fillId="7" borderId="26" xfId="0" applyFont="1" applyFill="1" applyBorder="1" applyAlignment="1">
      <alignment horizontal="centerContinuous"/>
    </xf>
    <xf numFmtId="0" fontId="49" fillId="7" borderId="28" xfId="0" applyFont="1" applyFill="1" applyBorder="1" applyAlignment="1">
      <alignment horizontal="centerContinuous"/>
    </xf>
    <xf numFmtId="0" fontId="0" fillId="4" borderId="27" xfId="0" applyFill="1" applyBorder="1"/>
    <xf numFmtId="0" fontId="0" fillId="4" borderId="26" xfId="0" applyFill="1" applyBorder="1"/>
    <xf numFmtId="0" fontId="0" fillId="4" borderId="28" xfId="0" applyFill="1" applyBorder="1"/>
    <xf numFmtId="0" fontId="0" fillId="4" borderId="18" xfId="0" applyFill="1" applyBorder="1"/>
    <xf numFmtId="0" fontId="0" fillId="4" borderId="20" xfId="0" applyFill="1" applyBorder="1"/>
    <xf numFmtId="0" fontId="50" fillId="3" borderId="27" xfId="0" applyFont="1" applyFill="1" applyBorder="1" applyAlignment="1">
      <alignment horizontal="centerContinuous"/>
    </xf>
    <xf numFmtId="0" fontId="26" fillId="0" borderId="0" xfId="0" applyFont="1" applyBorder="1" applyAlignment="1">
      <alignment horizontal="left"/>
    </xf>
    <xf numFmtId="0" fontId="0" fillId="0" borderId="0" xfId="0" applyAlignment="1"/>
    <xf numFmtId="200" fontId="36" fillId="0" borderId="0" xfId="0" quotePrefix="1" applyNumberFormat="1" applyFont="1" applyFill="1" applyAlignment="1">
      <alignment horizontal="left"/>
    </xf>
    <xf numFmtId="0" fontId="51" fillId="0" borderId="0" xfId="0" applyFont="1" applyFill="1"/>
    <xf numFmtId="0" fontId="52" fillId="0" borderId="0" xfId="0" applyFont="1" applyAlignment="1"/>
    <xf numFmtId="0" fontId="53" fillId="0" borderId="0" xfId="0" applyFont="1"/>
    <xf numFmtId="0" fontId="53" fillId="0" borderId="0" xfId="0" applyFont="1" applyAlignment="1"/>
    <xf numFmtId="0" fontId="54" fillId="0" borderId="0" xfId="0" applyFont="1" applyAlignment="1">
      <alignment horizontal="right"/>
    </xf>
    <xf numFmtId="0" fontId="54" fillId="0" borderId="0" xfId="0" applyFont="1" applyAlignment="1"/>
    <xf numFmtId="0" fontId="54" fillId="0" borderId="0" xfId="0" applyFont="1" applyAlignment="1">
      <alignment horizontal="left"/>
    </xf>
    <xf numFmtId="0" fontId="54" fillId="0" borderId="0" xfId="0" applyFont="1"/>
    <xf numFmtId="0" fontId="54" fillId="0" borderId="44" xfId="0" applyFont="1" applyBorder="1" applyAlignment="1">
      <alignment horizontal="centerContinuous"/>
    </xf>
    <xf numFmtId="0" fontId="54" fillId="0" borderId="45" xfId="0" applyFont="1" applyBorder="1" applyAlignment="1">
      <alignment horizontal="centerContinuous"/>
    </xf>
    <xf numFmtId="0" fontId="54" fillId="0" borderId="46" xfId="0" applyFont="1" applyBorder="1" applyAlignment="1">
      <alignment horizontal="centerContinuous"/>
    </xf>
    <xf numFmtId="0" fontId="54" fillId="0" borderId="47" xfId="0" applyFont="1" applyBorder="1" applyAlignment="1">
      <alignment horizontal="centerContinuous"/>
    </xf>
    <xf numFmtId="0" fontId="54" fillId="0" borderId="48" xfId="0" applyFont="1" applyBorder="1" applyAlignment="1">
      <alignment horizontal="centerContinuous"/>
    </xf>
    <xf numFmtId="0" fontId="54" fillId="0" borderId="49" xfId="0" applyFont="1" applyBorder="1" applyAlignment="1">
      <alignment horizontal="center"/>
    </xf>
    <xf numFmtId="49" fontId="54" fillId="0" borderId="50" xfId="0" applyNumberFormat="1" applyFont="1" applyBorder="1" applyAlignment="1">
      <alignment horizontal="right"/>
    </xf>
    <xf numFmtId="0" fontId="54" fillId="0" borderId="10" xfId="0" applyFont="1" applyBorder="1"/>
    <xf numFmtId="3" fontId="55" fillId="0" borderId="10" xfId="1" applyNumberFormat="1" applyFont="1" applyBorder="1" applyAlignment="1">
      <alignment horizontal="right"/>
    </xf>
    <xf numFmtId="3" fontId="55" fillId="0" borderId="23" xfId="1" applyNumberFormat="1" applyFont="1" applyBorder="1" applyAlignment="1">
      <alignment horizontal="right"/>
    </xf>
    <xf numFmtId="4" fontId="55" fillId="0" borderId="51" xfId="0" applyNumberFormat="1" applyFont="1" applyBorder="1" applyAlignment="1">
      <alignment horizontal="center"/>
    </xf>
    <xf numFmtId="3" fontId="55" fillId="0" borderId="10" xfId="0" applyNumberFormat="1" applyFont="1" applyBorder="1" applyAlignment="1">
      <alignment horizontal="right"/>
    </xf>
    <xf numFmtId="3" fontId="55" fillId="0" borderId="23" xfId="0" applyNumberFormat="1" applyFont="1" applyBorder="1" applyAlignment="1">
      <alignment horizontal="right"/>
    </xf>
    <xf numFmtId="49" fontId="54" fillId="0" borderId="52" xfId="0" applyNumberFormat="1" applyFont="1" applyBorder="1" applyAlignment="1">
      <alignment horizontal="right"/>
    </xf>
    <xf numFmtId="0" fontId="54" fillId="0" borderId="31" xfId="0" applyFont="1" applyBorder="1"/>
    <xf numFmtId="0" fontId="54" fillId="0" borderId="53" xfId="0" applyFont="1" applyBorder="1" applyAlignment="1">
      <alignment horizontal="center"/>
    </xf>
    <xf numFmtId="0" fontId="54" fillId="0" borderId="30" xfId="0" applyFont="1" applyBorder="1" applyAlignment="1">
      <alignment horizontal="center"/>
    </xf>
    <xf numFmtId="0" fontId="54" fillId="0" borderId="54" xfId="0" applyFont="1" applyBorder="1" applyAlignment="1">
      <alignment horizontal="center"/>
    </xf>
    <xf numFmtId="0" fontId="54" fillId="0" borderId="0" xfId="0" applyFont="1" applyBorder="1"/>
    <xf numFmtId="0" fontId="54" fillId="0" borderId="55" xfId="0" applyFont="1" applyBorder="1"/>
    <xf numFmtId="0" fontId="55" fillId="0" borderId="0" xfId="0" applyFont="1"/>
    <xf numFmtId="0" fontId="55" fillId="0" borderId="0" xfId="0" applyFont="1" applyAlignment="1">
      <alignment horizontal="center"/>
    </xf>
    <xf numFmtId="3" fontId="55" fillId="0" borderId="0" xfId="0" applyNumberFormat="1" applyFont="1"/>
    <xf numFmtId="0" fontId="55" fillId="0" borderId="17" xfId="0" applyFont="1" applyBorder="1" applyAlignment="1">
      <alignment horizontal="left"/>
    </xf>
    <xf numFmtId="0" fontId="55" fillId="0" borderId="17" xfId="0" applyFont="1" applyBorder="1" applyAlignment="1">
      <alignment horizontal="center"/>
    </xf>
    <xf numFmtId="3" fontId="55" fillId="0" borderId="17" xfId="0" applyNumberFormat="1" applyFont="1" applyBorder="1" applyAlignment="1">
      <alignment horizontal="center"/>
    </xf>
    <xf numFmtId="0" fontId="55" fillId="0" borderId="12" xfId="0" applyFont="1" applyBorder="1" applyAlignment="1">
      <alignment horizontal="center"/>
    </xf>
    <xf numFmtId="0" fontId="55" fillId="0" borderId="12" xfId="0" applyFont="1" applyBorder="1" applyAlignment="1">
      <alignment horizontal="left"/>
    </xf>
    <xf numFmtId="3" fontId="57" fillId="0" borderId="12" xfId="0" applyNumberFormat="1" applyFont="1" applyBorder="1" applyAlignment="1">
      <alignment horizontal="center"/>
    </xf>
    <xf numFmtId="1" fontId="0" fillId="0" borderId="56" xfId="0" applyNumberFormat="1" applyBorder="1" applyAlignment="1">
      <alignment horizontal="center"/>
    </xf>
    <xf numFmtId="1" fontId="0" fillId="0" borderId="56" xfId="0" applyNumberFormat="1" applyBorder="1"/>
    <xf numFmtId="3" fontId="55" fillId="0" borderId="34" xfId="0" applyNumberFormat="1" applyFont="1" applyBorder="1"/>
    <xf numFmtId="1" fontId="0" fillId="0" borderId="32" xfId="0" applyNumberFormat="1" applyBorder="1" applyAlignment="1">
      <alignment horizontal="center"/>
    </xf>
    <xf numFmtId="1" fontId="0" fillId="0" borderId="32" xfId="0" applyNumberFormat="1" applyBorder="1"/>
    <xf numFmtId="3" fontId="55" fillId="0" borderId="32" xfId="0" applyNumberFormat="1" applyFont="1" applyBorder="1"/>
    <xf numFmtId="3" fontId="55" fillId="0" borderId="57" xfId="0" applyNumberFormat="1" applyFont="1" applyBorder="1"/>
    <xf numFmtId="0" fontId="58" fillId="0" borderId="0" xfId="0" applyFont="1"/>
    <xf numFmtId="3" fontId="55" fillId="0" borderId="16" xfId="0" applyNumberFormat="1" applyFont="1" applyBorder="1"/>
    <xf numFmtId="3" fontId="52" fillId="0" borderId="58" xfId="0" applyNumberFormat="1" applyFont="1" applyBorder="1"/>
    <xf numFmtId="3" fontId="55" fillId="0" borderId="0" xfId="0" applyNumberFormat="1" applyFont="1" applyAlignment="1">
      <alignment horizontal="right"/>
    </xf>
    <xf numFmtId="0" fontId="52" fillId="0" borderId="0" xfId="7" applyFont="1"/>
    <xf numFmtId="0" fontId="55" fillId="0" borderId="0" xfId="7" applyFont="1" applyAlignment="1">
      <alignment horizontal="center" vertical="top" wrapText="1"/>
    </xf>
    <xf numFmtId="0" fontId="55" fillId="0" borderId="0" xfId="7" applyFont="1" applyAlignment="1">
      <alignment vertical="top" wrapText="1"/>
    </xf>
    <xf numFmtId="0" fontId="55" fillId="0" borderId="0" xfId="7" applyFont="1"/>
    <xf numFmtId="0" fontId="52" fillId="0" borderId="0" xfId="0" applyFont="1"/>
    <xf numFmtId="0" fontId="55" fillId="0" borderId="0" xfId="0" applyFont="1" applyAlignment="1">
      <alignment horizontal="center" vertical="top" wrapText="1"/>
    </xf>
    <xf numFmtId="0" fontId="55" fillId="0" borderId="0" xfId="0" applyFont="1" applyAlignment="1">
      <alignment vertical="top" wrapText="1"/>
    </xf>
    <xf numFmtId="1" fontId="5" fillId="9" borderId="59" xfId="2" applyNumberFormat="1" applyFont="1" applyFill="1" applyBorder="1" applyAlignment="1">
      <alignment horizontal="center"/>
    </xf>
    <xf numFmtId="188" fontId="5" fillId="9" borderId="60" xfId="2" applyNumberFormat="1" applyFont="1" applyFill="1" applyBorder="1" applyAlignment="1">
      <alignment horizontal="center"/>
    </xf>
    <xf numFmtId="0" fontId="5" fillId="9" borderId="60" xfId="2" applyFont="1" applyFill="1" applyBorder="1" applyAlignment="1"/>
    <xf numFmtId="0" fontId="5" fillId="9" borderId="61" xfId="2" applyFont="1" applyFill="1" applyBorder="1" applyAlignment="1"/>
    <xf numFmtId="43" fontId="5" fillId="9" borderId="59" xfId="2" applyNumberFormat="1" applyFont="1" applyFill="1" applyBorder="1"/>
    <xf numFmtId="43" fontId="5" fillId="9" borderId="62" xfId="2" applyNumberFormat="1" applyFont="1" applyFill="1" applyBorder="1"/>
    <xf numFmtId="0" fontId="15" fillId="0" borderId="0" xfId="8" applyFont="1" applyAlignment="1">
      <alignment horizontal="center"/>
    </xf>
    <xf numFmtId="1" fontId="15" fillId="0" borderId="0" xfId="8" applyNumberFormat="1"/>
    <xf numFmtId="202" fontId="15" fillId="0" borderId="0" xfId="8" applyNumberFormat="1"/>
    <xf numFmtId="0" fontId="22" fillId="9" borderId="5" xfId="6" applyFont="1" applyFill="1" applyBorder="1" applyAlignment="1">
      <alignment horizontal="center" vertical="center" wrapText="1"/>
    </xf>
    <xf numFmtId="1" fontId="22" fillId="9" borderId="17" xfId="6" applyNumberFormat="1" applyFont="1" applyFill="1" applyBorder="1" applyAlignment="1">
      <alignment horizontal="center" vertical="center" wrapText="1"/>
    </xf>
    <xf numFmtId="0" fontId="22" fillId="9" borderId="2" xfId="6" applyFont="1" applyFill="1" applyBorder="1" applyAlignment="1">
      <alignment horizontal="center" vertical="center" wrapText="1"/>
    </xf>
    <xf numFmtId="188" fontId="23" fillId="9" borderId="4" xfId="0" applyNumberFormat="1" applyFont="1" applyFill="1" applyBorder="1" applyAlignment="1">
      <alignment horizontal="center"/>
    </xf>
    <xf numFmtId="1" fontId="23" fillId="9" borderId="4" xfId="0" applyNumberFormat="1" applyFont="1" applyFill="1" applyBorder="1" applyAlignment="1">
      <alignment horizontal="left"/>
    </xf>
    <xf numFmtId="1" fontId="23" fillId="9" borderId="4" xfId="0" applyNumberFormat="1" applyFont="1" applyFill="1" applyBorder="1" applyAlignment="1">
      <alignment horizontal="center"/>
    </xf>
    <xf numFmtId="192" fontId="15" fillId="0" borderId="11" xfId="1" applyNumberFormat="1" applyFont="1" applyFill="1" applyBorder="1" applyAlignment="1" applyProtection="1">
      <alignment horizontal="center"/>
    </xf>
    <xf numFmtId="0" fontId="7" fillId="0" borderId="0" xfId="0" applyFont="1"/>
    <xf numFmtId="43" fontId="25" fillId="0" borderId="11" xfId="0" applyNumberFormat="1" applyFont="1" applyBorder="1" applyAlignment="1">
      <alignment horizontal="center" wrapText="1"/>
    </xf>
    <xf numFmtId="43" fontId="4" fillId="0" borderId="17" xfId="0" applyNumberFormat="1" applyFont="1" applyBorder="1" applyAlignment="1">
      <alignment horizontal="center" shrinkToFit="1"/>
    </xf>
    <xf numFmtId="0" fontId="62" fillId="0" borderId="0" xfId="9" applyFont="1"/>
    <xf numFmtId="0" fontId="63" fillId="0" borderId="0" xfId="9" applyFont="1" applyAlignment="1">
      <alignment horizontal="right"/>
    </xf>
    <xf numFmtId="0" fontId="62" fillId="0" borderId="1" xfId="9" applyFont="1" applyBorder="1"/>
    <xf numFmtId="0" fontId="62" fillId="0" borderId="17" xfId="9" applyFont="1" applyBorder="1" applyAlignment="1">
      <alignment horizontal="center"/>
    </xf>
    <xf numFmtId="0" fontId="62" fillId="0" borderId="2" xfId="9" applyFont="1" applyBorder="1" applyAlignment="1">
      <alignment horizontal="center"/>
    </xf>
    <xf numFmtId="0" fontId="62" fillId="0" borderId="4" xfId="9" applyFont="1" applyBorder="1" applyAlignment="1">
      <alignment horizontal="center"/>
    </xf>
    <xf numFmtId="0" fontId="62" fillId="0" borderId="6" xfId="9" applyFont="1" applyBorder="1" applyAlignment="1">
      <alignment horizontal="center"/>
    </xf>
    <xf numFmtId="0" fontId="62" fillId="0" borderId="12" xfId="9" applyFont="1" applyBorder="1" applyAlignment="1">
      <alignment horizontal="center"/>
    </xf>
    <xf numFmtId="0" fontId="62" fillId="0" borderId="12" xfId="9" applyFont="1" applyBorder="1"/>
    <xf numFmtId="0" fontId="62" fillId="0" borderId="8" xfId="9" applyFont="1" applyBorder="1" applyAlignment="1">
      <alignment horizontal="center"/>
    </xf>
    <xf numFmtId="0" fontId="65" fillId="0" borderId="56" xfId="9" applyFont="1" applyBorder="1" applyAlignment="1">
      <alignment horizontal="center"/>
    </xf>
    <xf numFmtId="206" fontId="65" fillId="0" borderId="56" xfId="9" applyNumberFormat="1" applyFont="1" applyBorder="1" applyAlignment="1">
      <alignment horizontal="center"/>
    </xf>
    <xf numFmtId="0" fontId="65" fillId="0" borderId="56" xfId="9" applyFont="1" applyBorder="1"/>
    <xf numFmtId="201" fontId="66" fillId="0" borderId="34" xfId="9" applyNumberFormat="1" applyFont="1" applyBorder="1"/>
    <xf numFmtId="0" fontId="67" fillId="0" borderId="34" xfId="9" applyFont="1" applyBorder="1"/>
    <xf numFmtId="0" fontId="63" fillId="0" borderId="0" xfId="9" applyFont="1"/>
    <xf numFmtId="0" fontId="65" fillId="0" borderId="32" xfId="9" applyFont="1" applyBorder="1" applyAlignment="1">
      <alignment horizontal="center"/>
    </xf>
    <xf numFmtId="206" fontId="65" fillId="0" borderId="32" xfId="9" applyNumberFormat="1" applyFont="1" applyBorder="1" applyAlignment="1">
      <alignment horizontal="center"/>
    </xf>
    <xf numFmtId="0" fontId="65" fillId="0" borderId="32" xfId="9" applyFont="1" applyBorder="1"/>
    <xf numFmtId="201" fontId="66" fillId="0" borderId="32" xfId="9" applyNumberFormat="1" applyFont="1" applyBorder="1"/>
    <xf numFmtId="0" fontId="67" fillId="0" borderId="32" xfId="9" applyFont="1" applyBorder="1"/>
    <xf numFmtId="0" fontId="65" fillId="0" borderId="57" xfId="9" applyFont="1" applyBorder="1" applyAlignment="1">
      <alignment horizontal="center" vertical="center"/>
    </xf>
    <xf numFmtId="206" fontId="65" fillId="0" borderId="57" xfId="9" applyNumberFormat="1" applyFont="1" applyBorder="1" applyAlignment="1">
      <alignment horizontal="center" vertical="center"/>
    </xf>
    <xf numFmtId="0" fontId="65" fillId="0" borderId="57" xfId="9" applyFont="1" applyBorder="1" applyAlignment="1">
      <alignment vertical="center"/>
    </xf>
    <xf numFmtId="201" fontId="66" fillId="0" borderId="57" xfId="9" applyNumberFormat="1" applyFont="1" applyBorder="1"/>
    <xf numFmtId="0" fontId="62" fillId="0" borderId="0" xfId="9" applyFont="1" applyAlignment="1">
      <alignment horizontal="right"/>
    </xf>
    <xf numFmtId="201" fontId="66" fillId="0" borderId="56" xfId="9" applyNumberFormat="1" applyFont="1" applyBorder="1"/>
    <xf numFmtId="0" fontId="65" fillId="0" borderId="57" xfId="9" applyFont="1" applyBorder="1" applyAlignment="1">
      <alignment horizontal="center"/>
    </xf>
    <xf numFmtId="206" fontId="65" fillId="0" borderId="57" xfId="9" applyNumberFormat="1" applyFont="1" applyBorder="1" applyAlignment="1">
      <alignment horizontal="center"/>
    </xf>
    <xf numFmtId="0" fontId="65" fillId="0" borderId="57" xfId="9" applyFont="1" applyBorder="1"/>
    <xf numFmtId="0" fontId="68" fillId="0" borderId="0" xfId="9" applyFont="1"/>
    <xf numFmtId="205" fontId="22" fillId="13" borderId="5" xfId="6" applyNumberFormat="1" applyFont="1" applyFill="1" applyBorder="1" applyAlignment="1">
      <alignment horizontal="center" vertical="center" wrapText="1"/>
    </xf>
    <xf numFmtId="0" fontId="23" fillId="0" borderId="0" xfId="0" applyFont="1" applyFill="1"/>
    <xf numFmtId="0" fontId="69" fillId="0" borderId="11" xfId="0" applyNumberFormat="1" applyFont="1" applyBorder="1" applyAlignment="1">
      <alignment horizontal="center" vertical="center"/>
    </xf>
    <xf numFmtId="0" fontId="69" fillId="0" borderId="11" xfId="0" applyFont="1" applyBorder="1" applyAlignment="1">
      <alignment horizontal="center" vertical="center"/>
    </xf>
    <xf numFmtId="4" fontId="69" fillId="0" borderId="11" xfId="0" applyNumberFormat="1" applyFont="1" applyBorder="1" applyAlignment="1">
      <alignment horizontal="right" vertical="center"/>
    </xf>
    <xf numFmtId="0" fontId="45" fillId="0" borderId="0" xfId="0" applyFont="1"/>
    <xf numFmtId="43" fontId="45" fillId="0" borderId="0" xfId="1" applyFont="1"/>
    <xf numFmtId="190" fontId="7" fillId="0" borderId="5" xfId="0" applyNumberFormat="1" applyFont="1" applyBorder="1" applyAlignment="1">
      <alignment horizontal="center"/>
    </xf>
    <xf numFmtId="188" fontId="7" fillId="0" borderId="7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99" fontId="70" fillId="0" borderId="0" xfId="0" applyNumberFormat="1" applyFont="1" applyAlignment="1">
      <alignment horizontal="left"/>
    </xf>
    <xf numFmtId="0" fontId="70" fillId="0" borderId="0" xfId="0" applyFont="1" applyAlignment="1">
      <alignment horizontal="left"/>
    </xf>
    <xf numFmtId="196" fontId="70" fillId="0" borderId="0" xfId="0" applyNumberFormat="1" applyFont="1" applyAlignment="1">
      <alignment horizontal="left"/>
    </xf>
    <xf numFmtId="0" fontId="5" fillId="0" borderId="0" xfId="0" applyFont="1" applyAlignment="1">
      <alignment horizontal="right" shrinkToFit="1"/>
    </xf>
    <xf numFmtId="0" fontId="4" fillId="0" borderId="0" xfId="0" applyFont="1" applyAlignment="1">
      <alignment horizontal="right" shrinkToFit="1"/>
    </xf>
    <xf numFmtId="43" fontId="45" fillId="0" borderId="29" xfId="1" applyFont="1" applyBorder="1"/>
    <xf numFmtId="3" fontId="55" fillId="0" borderId="0" xfId="0" applyNumberFormat="1" applyFont="1" applyAlignment="1">
      <alignment horizontal="left"/>
    </xf>
    <xf numFmtId="3" fontId="56" fillId="0" borderId="12" xfId="0" applyNumberFormat="1" applyFont="1" applyBorder="1" applyAlignment="1">
      <alignment horizontal="center"/>
    </xf>
    <xf numFmtId="0" fontId="23" fillId="0" borderId="0" xfId="0" applyFont="1" applyAlignment="1">
      <alignment horizontal="center"/>
    </xf>
    <xf numFmtId="191" fontId="23" fillId="0" borderId="0" xfId="0" applyNumberFormat="1" applyFont="1" applyAlignment="1">
      <alignment horizontal="center"/>
    </xf>
    <xf numFmtId="192" fontId="23" fillId="0" borderId="0" xfId="1" applyNumberFormat="1" applyFont="1"/>
    <xf numFmtId="0" fontId="44" fillId="0" borderId="0" xfId="0" applyFont="1"/>
    <xf numFmtId="0" fontId="71" fillId="0" borderId="0" xfId="0" applyFont="1"/>
    <xf numFmtId="0" fontId="23" fillId="0" borderId="6" xfId="0" applyFont="1" applyBorder="1" applyAlignment="1">
      <alignment vertical="center"/>
    </xf>
    <xf numFmtId="0" fontId="44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191" fontId="23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192" fontId="23" fillId="0" borderId="1" xfId="1" applyNumberFormat="1" applyFont="1" applyBorder="1" applyAlignment="1">
      <alignment vertical="center"/>
    </xf>
    <xf numFmtId="0" fontId="23" fillId="0" borderId="9" xfId="0" applyFont="1" applyBorder="1" applyAlignment="1">
      <alignment vertical="center"/>
    </xf>
    <xf numFmtId="0" fontId="23" fillId="0" borderId="0" xfId="0" applyFont="1" applyAlignment="1">
      <alignment horizontal="right"/>
    </xf>
    <xf numFmtId="0" fontId="72" fillId="0" borderId="2" xfId="0" applyFont="1" applyBorder="1" applyAlignment="1">
      <alignment horizontal="center"/>
    </xf>
    <xf numFmtId="191" fontId="72" fillId="0" borderId="17" xfId="0" applyNumberFormat="1" applyFont="1" applyBorder="1" applyAlignment="1">
      <alignment horizontal="center"/>
    </xf>
    <xf numFmtId="0" fontId="72" fillId="0" borderId="0" xfId="0" applyFont="1"/>
    <xf numFmtId="0" fontId="72" fillId="0" borderId="6" xfId="0" applyFont="1" applyBorder="1" applyAlignment="1">
      <alignment horizontal="center"/>
    </xf>
    <xf numFmtId="0" fontId="72" fillId="0" borderId="0" xfId="0" applyFont="1" applyBorder="1" applyAlignment="1">
      <alignment horizontal="center"/>
    </xf>
    <xf numFmtId="191" fontId="72" fillId="0" borderId="4" xfId="0" applyNumberFormat="1" applyFont="1" applyBorder="1" applyAlignment="1">
      <alignment horizontal="center"/>
    </xf>
    <xf numFmtId="0" fontId="72" fillId="0" borderId="17" xfId="0" applyFont="1" applyBorder="1" applyAlignment="1">
      <alignment horizontal="center"/>
    </xf>
    <xf numFmtId="0" fontId="72" fillId="0" borderId="8" xfId="0" applyFont="1" applyBorder="1" applyAlignment="1">
      <alignment horizontal="center"/>
    </xf>
    <xf numFmtId="0" fontId="72" fillId="0" borderId="1" xfId="0" applyFont="1" applyBorder="1" applyAlignment="1">
      <alignment horizontal="center"/>
    </xf>
    <xf numFmtId="0" fontId="72" fillId="0" borderId="9" xfId="0" applyFont="1" applyBorder="1" applyAlignment="1">
      <alignment horizontal="center"/>
    </xf>
    <xf numFmtId="0" fontId="72" fillId="0" borderId="0" xfId="0" applyFont="1" applyBorder="1" applyAlignment="1">
      <alignment horizontal="left"/>
    </xf>
    <xf numFmtId="0" fontId="72" fillId="0" borderId="7" xfId="0" applyFont="1" applyBorder="1" applyAlignment="1">
      <alignment horizontal="center"/>
    </xf>
    <xf numFmtId="0" fontId="72" fillId="0" borderId="4" xfId="0" applyFont="1" applyBorder="1" applyAlignment="1">
      <alignment horizontal="center"/>
    </xf>
    <xf numFmtId="0" fontId="72" fillId="0" borderId="2" xfId="0" applyFont="1" applyBorder="1"/>
    <xf numFmtId="0" fontId="72" fillId="0" borderId="5" xfId="0" applyFont="1" applyBorder="1"/>
    <xf numFmtId="0" fontId="72" fillId="0" borderId="7" xfId="0" applyFont="1" applyBorder="1"/>
    <xf numFmtId="0" fontId="72" fillId="0" borderId="6" xfId="0" applyFont="1" applyBorder="1"/>
    <xf numFmtId="0" fontId="72" fillId="0" borderId="0" xfId="0" applyFont="1" applyBorder="1"/>
    <xf numFmtId="0" fontId="72" fillId="0" borderId="4" xfId="0" applyFont="1" applyBorder="1"/>
    <xf numFmtId="0" fontId="72" fillId="0" borderId="8" xfId="0" applyFont="1" applyBorder="1"/>
    <xf numFmtId="0" fontId="72" fillId="0" borderId="1" xfId="0" applyFont="1" applyBorder="1"/>
    <xf numFmtId="0" fontId="72" fillId="0" borderId="9" xfId="0" applyFont="1" applyBorder="1"/>
    <xf numFmtId="191" fontId="72" fillId="0" borderId="12" xfId="0" applyNumberFormat="1" applyFont="1" applyBorder="1" applyAlignment="1">
      <alignment horizontal="center"/>
    </xf>
    <xf numFmtId="0" fontId="72" fillId="0" borderId="12" xfId="0" applyFont="1" applyBorder="1"/>
    <xf numFmtId="192" fontId="72" fillId="0" borderId="1" xfId="1" applyNumberFormat="1" applyFont="1" applyBorder="1" applyAlignment="1">
      <alignment horizontal="center"/>
    </xf>
    <xf numFmtId="0" fontId="72" fillId="0" borderId="11" xfId="0" applyFont="1" applyBorder="1" applyAlignment="1">
      <alignment horizontal="center"/>
    </xf>
    <xf numFmtId="0" fontId="72" fillId="0" borderId="12" xfId="0" applyFont="1" applyBorder="1" applyAlignment="1">
      <alignment horizontal="center"/>
    </xf>
    <xf numFmtId="0" fontId="45" fillId="0" borderId="0" xfId="0" applyFont="1" applyBorder="1"/>
    <xf numFmtId="43" fontId="4" fillId="0" borderId="10" xfId="2" applyNumberFormat="1" applyFont="1" applyFill="1" applyBorder="1" applyAlignment="1">
      <alignment horizontal="centerContinuous"/>
    </xf>
    <xf numFmtId="43" fontId="4" fillId="0" borderId="17" xfId="2" applyNumberFormat="1" applyFont="1" applyFill="1" applyBorder="1" applyAlignment="1">
      <alignment horizontal="centerContinuous"/>
    </xf>
    <xf numFmtId="43" fontId="4" fillId="0" borderId="12" xfId="2" applyNumberFormat="1" applyFont="1" applyFill="1" applyBorder="1" applyAlignment="1">
      <alignment horizontal="centerContinuous"/>
    </xf>
    <xf numFmtId="43" fontId="5" fillId="9" borderId="16" xfId="2" applyNumberFormat="1" applyFont="1" applyFill="1" applyBorder="1"/>
    <xf numFmtId="0" fontId="4" fillId="0" borderId="4" xfId="0" applyFont="1" applyBorder="1" applyAlignment="1">
      <alignment horizontal="center" shrinkToFit="1"/>
    </xf>
    <xf numFmtId="0" fontId="73" fillId="2" borderId="11" xfId="7" applyFont="1" applyFill="1" applyBorder="1" applyAlignment="1">
      <alignment horizontal="center"/>
    </xf>
    <xf numFmtId="194" fontId="73" fillId="0" borderId="0" xfId="7" applyNumberFormat="1" applyFont="1" applyAlignment="1">
      <alignment horizontal="center"/>
    </xf>
    <xf numFmtId="0" fontId="73" fillId="0" borderId="0" xfId="7" applyFont="1" applyAlignment="1">
      <alignment horizontal="center"/>
    </xf>
    <xf numFmtId="0" fontId="73" fillId="0" borderId="11" xfId="7" applyFont="1" applyBorder="1"/>
    <xf numFmtId="0" fontId="73" fillId="5" borderId="11" xfId="7" applyFont="1" applyFill="1" applyBorder="1"/>
    <xf numFmtId="0" fontId="73" fillId="0" borderId="0" xfId="7" applyFont="1"/>
    <xf numFmtId="1" fontId="73" fillId="5" borderId="11" xfId="7" applyNumberFormat="1" applyFont="1" applyFill="1" applyBorder="1"/>
    <xf numFmtId="0" fontId="73" fillId="5" borderId="11" xfId="7" applyFont="1" applyFill="1" applyBorder="1" applyAlignment="1">
      <alignment horizontal="left"/>
    </xf>
    <xf numFmtId="10" fontId="73" fillId="5" borderId="11" xfId="10" applyNumberFormat="1" applyFont="1" applyFill="1" applyBorder="1" applyAlignment="1">
      <alignment horizontal="left"/>
    </xf>
    <xf numFmtId="203" fontId="73" fillId="5" borderId="11" xfId="7" applyNumberFormat="1" applyFont="1" applyFill="1" applyBorder="1" applyAlignment="1">
      <alignment horizontal="left"/>
    </xf>
    <xf numFmtId="15" fontId="73" fillId="5" borderId="11" xfId="7" applyNumberFormat="1" applyFont="1" applyFill="1" applyBorder="1" applyAlignment="1">
      <alignment horizontal="left"/>
    </xf>
    <xf numFmtId="204" fontId="73" fillId="5" borderId="11" xfId="7" applyNumberFormat="1" applyFont="1" applyFill="1" applyBorder="1" applyAlignment="1">
      <alignment horizontal="left"/>
    </xf>
    <xf numFmtId="1" fontId="73" fillId="5" borderId="11" xfId="7" applyNumberFormat="1" applyFont="1" applyFill="1" applyBorder="1" applyAlignment="1">
      <alignment horizontal="left"/>
    </xf>
    <xf numFmtId="0" fontId="65" fillId="0" borderId="0" xfId="0" applyNumberFormat="1" applyFont="1" applyAlignment="1">
      <alignment horizontal="centerContinuous"/>
    </xf>
    <xf numFmtId="0" fontId="65" fillId="0" borderId="0" xfId="0" applyFont="1" applyAlignment="1">
      <alignment horizontal="centerContinuous"/>
    </xf>
    <xf numFmtId="191" fontId="45" fillId="0" borderId="0" xfId="0" applyNumberFormat="1" applyFont="1" applyAlignment="1">
      <alignment horizontal="center"/>
    </xf>
    <xf numFmtId="192" fontId="45" fillId="0" borderId="0" xfId="1" applyNumberFormat="1" applyFont="1"/>
    <xf numFmtId="0" fontId="22" fillId="0" borderId="4" xfId="0" applyFont="1" applyBorder="1" applyAlignment="1">
      <alignment horizontal="center"/>
    </xf>
    <xf numFmtId="0" fontId="22" fillId="0" borderId="3" xfId="0" applyFont="1" applyBorder="1"/>
    <xf numFmtId="0" fontId="22" fillId="0" borderId="10" xfId="0" applyFont="1" applyBorder="1" applyAlignment="1">
      <alignment horizontal="center"/>
    </xf>
    <xf numFmtId="0" fontId="22" fillId="0" borderId="63" xfId="0" applyFont="1" applyBorder="1" applyAlignment="1">
      <alignment horizontal="center"/>
    </xf>
    <xf numFmtId="0" fontId="22" fillId="0" borderId="23" xfId="0" applyFont="1" applyBorder="1" applyAlignment="1">
      <alignment horizontal="center"/>
    </xf>
    <xf numFmtId="191" fontId="22" fillId="0" borderId="17" xfId="0" applyNumberFormat="1" applyFont="1" applyBorder="1" applyAlignment="1">
      <alignment horizontal="center"/>
    </xf>
    <xf numFmtId="0" fontId="22" fillId="0" borderId="17" xfId="0" applyFont="1" applyBorder="1" applyAlignment="1">
      <alignment horizontal="center"/>
    </xf>
    <xf numFmtId="0" fontId="22" fillId="0" borderId="3" xfId="0" applyFont="1" applyBorder="1" applyAlignment="1">
      <alignment horizontal="center"/>
    </xf>
    <xf numFmtId="192" fontId="22" fillId="0" borderId="17" xfId="1" applyNumberFormat="1" applyFont="1" applyBorder="1"/>
    <xf numFmtId="41" fontId="22" fillId="0" borderId="17" xfId="0" applyNumberFormat="1" applyFont="1" applyBorder="1"/>
    <xf numFmtId="0" fontId="22" fillId="0" borderId="0" xfId="0" applyFont="1"/>
    <xf numFmtId="0" fontId="22" fillId="0" borderId="0" xfId="0" applyFont="1" applyBorder="1"/>
    <xf numFmtId="0" fontId="22" fillId="0" borderId="0" xfId="0" applyFont="1" applyBorder="1" applyAlignment="1">
      <alignment horizontal="center"/>
    </xf>
    <xf numFmtId="191" fontId="22" fillId="0" borderId="4" xfId="0" applyNumberFormat="1" applyFont="1" applyBorder="1" applyAlignment="1">
      <alignment horizontal="center"/>
    </xf>
    <xf numFmtId="192" fontId="22" fillId="0" borderId="4" xfId="1" applyNumberFormat="1" applyFont="1" applyBorder="1"/>
    <xf numFmtId="41" fontId="22" fillId="0" borderId="4" xfId="0" applyNumberFormat="1" applyFont="1" applyBorder="1"/>
    <xf numFmtId="0" fontId="22" fillId="0" borderId="0" xfId="0" applyFont="1" applyBorder="1" applyAlignment="1">
      <alignment horizontal="left"/>
    </xf>
    <xf numFmtId="0" fontId="22" fillId="0" borderId="7" xfId="0" applyFont="1" applyBorder="1" applyAlignment="1">
      <alignment horizontal="center"/>
    </xf>
    <xf numFmtId="43" fontId="22" fillId="0" borderId="0" xfId="1" applyFont="1" applyBorder="1" applyAlignment="1">
      <alignment horizontal="center"/>
    </xf>
    <xf numFmtId="0" fontId="22" fillId="0" borderId="4" xfId="0" quotePrefix="1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22" fillId="0" borderId="1" xfId="0" applyFont="1" applyBorder="1"/>
    <xf numFmtId="0" fontId="22" fillId="0" borderId="1" xfId="0" applyFont="1" applyBorder="1" applyAlignment="1">
      <alignment horizontal="center"/>
    </xf>
    <xf numFmtId="0" fontId="22" fillId="0" borderId="9" xfId="0" applyFont="1" applyBorder="1" applyAlignment="1">
      <alignment horizontal="center"/>
    </xf>
    <xf numFmtId="191" fontId="22" fillId="0" borderId="12" xfId="0" applyNumberFormat="1" applyFont="1" applyBorder="1" applyAlignment="1">
      <alignment horizontal="center"/>
    </xf>
    <xf numFmtId="192" fontId="22" fillId="0" borderId="12" xfId="1" applyNumberFormat="1" applyFont="1" applyBorder="1"/>
    <xf numFmtId="41" fontId="22" fillId="0" borderId="12" xfId="0" applyNumberFormat="1" applyFont="1" applyBorder="1"/>
    <xf numFmtId="191" fontId="22" fillId="0" borderId="0" xfId="0" applyNumberFormat="1" applyFont="1" applyBorder="1" applyAlignment="1">
      <alignment horizontal="center"/>
    </xf>
    <xf numFmtId="192" fontId="22" fillId="0" borderId="0" xfId="1" applyNumberFormat="1" applyFont="1" applyBorder="1"/>
    <xf numFmtId="41" fontId="22" fillId="0" borderId="0" xfId="0" applyNumberFormat="1" applyFont="1" applyBorder="1"/>
    <xf numFmtId="0" fontId="66" fillId="0" borderId="0" xfId="0" applyFont="1" applyAlignment="1">
      <alignment horizontal="center"/>
    </xf>
    <xf numFmtId="0" fontId="66" fillId="0" borderId="0" xfId="0" applyFont="1"/>
    <xf numFmtId="191" fontId="66" fillId="0" borderId="0" xfId="0" applyNumberFormat="1" applyFont="1" applyAlignment="1">
      <alignment horizontal="center"/>
    </xf>
    <xf numFmtId="192" fontId="66" fillId="0" borderId="3" xfId="1" applyNumberFormat="1" applyFont="1" applyBorder="1" applyAlignment="1">
      <alignment horizontal="center"/>
    </xf>
    <xf numFmtId="0" fontId="66" fillId="0" borderId="3" xfId="0" applyFont="1" applyBorder="1" applyAlignment="1">
      <alignment horizontal="center"/>
    </xf>
    <xf numFmtId="0" fontId="66" fillId="0" borderId="5" xfId="0" applyFont="1" applyBorder="1" applyAlignment="1">
      <alignment horizontal="center"/>
    </xf>
    <xf numFmtId="41" fontId="66" fillId="0" borderId="15" xfId="0" applyNumberFormat="1" applyFont="1" applyBorder="1"/>
    <xf numFmtId="0" fontId="66" fillId="0" borderId="16" xfId="0" applyFont="1" applyBorder="1" applyAlignment="1">
      <alignment horizontal="center"/>
    </xf>
    <xf numFmtId="0" fontId="66" fillId="0" borderId="2" xfId="0" applyFont="1" applyBorder="1"/>
    <xf numFmtId="0" fontId="45" fillId="0" borderId="0" xfId="0" applyFont="1" applyFill="1"/>
    <xf numFmtId="0" fontId="46" fillId="0" borderId="0" xfId="0" applyFont="1" applyFill="1"/>
    <xf numFmtId="0" fontId="73" fillId="0" borderId="0" xfId="0" applyFont="1" applyAlignment="1">
      <alignment horizontal="center"/>
    </xf>
    <xf numFmtId="0" fontId="73" fillId="0" borderId="0" xfId="0" applyFont="1"/>
    <xf numFmtId="1" fontId="22" fillId="0" borderId="17" xfId="2" applyNumberFormat="1" applyFont="1" applyFill="1" applyBorder="1" applyAlignment="1">
      <alignment horizontal="center"/>
    </xf>
    <xf numFmtId="188" fontId="22" fillId="0" borderId="17" xfId="2" applyNumberFormat="1" applyFont="1" applyFill="1" applyBorder="1" applyAlignment="1">
      <alignment horizontal="center"/>
    </xf>
    <xf numFmtId="188" fontId="22" fillId="0" borderId="2" xfId="2" applyNumberFormat="1" applyFont="1" applyFill="1" applyBorder="1" applyAlignment="1">
      <alignment horizontal="center"/>
    </xf>
    <xf numFmtId="0" fontId="22" fillId="0" borderId="3" xfId="2" applyFont="1" applyFill="1" applyBorder="1" applyAlignment="1">
      <alignment horizontal="centerContinuous"/>
    </xf>
    <xf numFmtId="0" fontId="22" fillId="0" borderId="5" xfId="2" applyFont="1" applyFill="1" applyBorder="1" applyAlignment="1">
      <alignment horizontal="centerContinuous"/>
    </xf>
    <xf numFmtId="43" fontId="22" fillId="0" borderId="23" xfId="2" applyNumberFormat="1" applyFont="1" applyFill="1" applyBorder="1" applyAlignment="1">
      <alignment horizontal="centerContinuous"/>
    </xf>
    <xf numFmtId="43" fontId="22" fillId="0" borderId="11" xfId="2" applyNumberFormat="1" applyFont="1" applyFill="1" applyBorder="1" applyAlignment="1">
      <alignment horizontal="centerContinuous"/>
    </xf>
    <xf numFmtId="43" fontId="22" fillId="0" borderId="17" xfId="2" applyNumberFormat="1" applyFont="1" applyFill="1" applyBorder="1" applyAlignment="1">
      <alignment horizontal="center"/>
    </xf>
    <xf numFmtId="43" fontId="22" fillId="0" borderId="0" xfId="2" applyNumberFormat="1" applyFont="1" applyFill="1"/>
    <xf numFmtId="43" fontId="22" fillId="0" borderId="0" xfId="2" applyNumberFormat="1" applyFont="1" applyFill="1" applyAlignment="1">
      <alignment horizontal="center"/>
    </xf>
    <xf numFmtId="0" fontId="22" fillId="0" borderId="0" xfId="2" applyFont="1" applyFill="1" applyAlignment="1">
      <alignment horizontal="center"/>
    </xf>
    <xf numFmtId="0" fontId="22" fillId="0" borderId="0" xfId="2" applyFont="1" applyFill="1"/>
    <xf numFmtId="1" fontId="22" fillId="0" borderId="12" xfId="2" applyNumberFormat="1" applyFont="1" applyFill="1" applyBorder="1" applyAlignment="1">
      <alignment horizontal="center" shrinkToFit="1"/>
    </xf>
    <xf numFmtId="188" fontId="22" fillId="0" borderId="12" xfId="2" applyNumberFormat="1" applyFont="1" applyFill="1" applyBorder="1" applyAlignment="1">
      <alignment horizontal="center" shrinkToFit="1"/>
    </xf>
    <xf numFmtId="188" fontId="22" fillId="0" borderId="8" xfId="2" applyNumberFormat="1" applyFont="1" applyFill="1" applyBorder="1" applyAlignment="1">
      <alignment horizontal="center" shrinkToFit="1"/>
    </xf>
    <xf numFmtId="0" fontId="22" fillId="0" borderId="1" xfId="2" applyFont="1" applyFill="1" applyBorder="1" applyAlignment="1">
      <alignment horizontal="center" shrinkToFit="1"/>
    </xf>
    <xf numFmtId="0" fontId="22" fillId="0" borderId="9" xfId="2" applyFont="1" applyFill="1" applyBorder="1" applyAlignment="1">
      <alignment horizontal="center" shrinkToFit="1"/>
    </xf>
    <xf numFmtId="43" fontId="22" fillId="0" borderId="23" xfId="2" applyNumberFormat="1" applyFont="1" applyFill="1" applyBorder="1" applyAlignment="1">
      <alignment horizontal="center" shrinkToFit="1"/>
    </xf>
    <xf numFmtId="43" fontId="22" fillId="0" borderId="11" xfId="2" applyNumberFormat="1" applyFont="1" applyFill="1" applyBorder="1" applyAlignment="1">
      <alignment horizontal="center" shrinkToFit="1"/>
    </xf>
    <xf numFmtId="43" fontId="22" fillId="0" borderId="12" xfId="2" applyNumberFormat="1" applyFont="1" applyFill="1" applyBorder="1" applyAlignment="1">
      <alignment horizontal="center" shrinkToFit="1"/>
    </xf>
    <xf numFmtId="43" fontId="22" fillId="0" borderId="0" xfId="2" applyNumberFormat="1" applyFont="1" applyFill="1" applyAlignment="1">
      <alignment shrinkToFit="1"/>
    </xf>
    <xf numFmtId="43" fontId="22" fillId="0" borderId="0" xfId="2" applyNumberFormat="1" applyFont="1" applyFill="1" applyAlignment="1">
      <alignment horizontal="center" shrinkToFit="1"/>
    </xf>
    <xf numFmtId="0" fontId="22" fillId="0" borderId="0" xfId="2" applyFont="1" applyFill="1" applyAlignment="1">
      <alignment horizontal="center" shrinkToFit="1"/>
    </xf>
    <xf numFmtId="0" fontId="22" fillId="0" borderId="0" xfId="2" applyFont="1" applyFill="1" applyAlignment="1">
      <alignment shrinkToFit="1"/>
    </xf>
    <xf numFmtId="1" fontId="23" fillId="0" borderId="4" xfId="2" applyNumberFormat="1" applyFont="1" applyFill="1" applyBorder="1" applyAlignment="1">
      <alignment horizontal="center"/>
    </xf>
    <xf numFmtId="188" fontId="23" fillId="0" borderId="4" xfId="2" applyNumberFormat="1" applyFont="1" applyFill="1" applyBorder="1" applyAlignment="1">
      <alignment horizontal="center"/>
    </xf>
    <xf numFmtId="1" fontId="23" fillId="0" borderId="6" xfId="0" applyNumberFormat="1" applyFont="1" applyFill="1" applyBorder="1" applyAlignment="1">
      <alignment horizontal="center"/>
    </xf>
    <xf numFmtId="0" fontId="23" fillId="0" borderId="0" xfId="0" applyFont="1" applyFill="1" applyBorder="1" applyAlignment="1"/>
    <xf numFmtId="0" fontId="23" fillId="0" borderId="7" xfId="0" applyFont="1" applyFill="1" applyBorder="1" applyAlignment="1"/>
    <xf numFmtId="43" fontId="23" fillId="0" borderId="4" xfId="5" applyNumberFormat="1" applyFont="1" applyFill="1" applyBorder="1"/>
    <xf numFmtId="43" fontId="23" fillId="0" borderId="6" xfId="2" applyNumberFormat="1" applyFont="1" applyFill="1" applyBorder="1"/>
    <xf numFmtId="43" fontId="23" fillId="0" borderId="4" xfId="2" applyNumberFormat="1" applyFont="1" applyFill="1" applyBorder="1"/>
    <xf numFmtId="43" fontId="23" fillId="0" borderId="0" xfId="2" applyNumberFormat="1" applyFont="1" applyFill="1" applyBorder="1"/>
    <xf numFmtId="43" fontId="23" fillId="0" borderId="0" xfId="2" applyNumberFormat="1" applyFont="1" applyFill="1"/>
    <xf numFmtId="0" fontId="23" fillId="0" borderId="0" xfId="2" applyFont="1" applyFill="1"/>
    <xf numFmtId="1" fontId="23" fillId="0" borderId="10" xfId="2" applyNumberFormat="1" applyFont="1" applyFill="1" applyBorder="1" applyAlignment="1">
      <alignment horizontal="center"/>
    </xf>
    <xf numFmtId="188" fontId="23" fillId="0" borderId="29" xfId="2" applyNumberFormat="1" applyFont="1" applyFill="1" applyBorder="1" applyAlignment="1">
      <alignment horizontal="center"/>
    </xf>
    <xf numFmtId="0" fontId="23" fillId="0" borderId="29" xfId="2" applyFont="1" applyFill="1" applyBorder="1" applyAlignment="1"/>
    <xf numFmtId="0" fontId="23" fillId="0" borderId="23" xfId="2" applyFont="1" applyFill="1" applyBorder="1" applyAlignment="1"/>
    <xf numFmtId="43" fontId="23" fillId="0" borderId="10" xfId="2" applyNumberFormat="1" applyFont="1" applyFill="1" applyBorder="1"/>
    <xf numFmtId="43" fontId="23" fillId="0" borderId="11" xfId="2" applyNumberFormat="1" applyFont="1" applyFill="1" applyBorder="1"/>
    <xf numFmtId="43" fontId="23" fillId="0" borderId="29" xfId="2" applyNumberFormat="1" applyFont="1" applyFill="1" applyBorder="1"/>
    <xf numFmtId="1" fontId="23" fillId="0" borderId="59" xfId="2" applyNumberFormat="1" applyFont="1" applyFill="1" applyBorder="1" applyAlignment="1">
      <alignment horizontal="center"/>
    </xf>
    <xf numFmtId="188" fontId="23" fillId="0" borderId="60" xfId="2" applyNumberFormat="1" applyFont="1" applyFill="1" applyBorder="1" applyAlignment="1">
      <alignment horizontal="center"/>
    </xf>
    <xf numFmtId="0" fontId="23" fillId="0" borderId="60" xfId="2" applyFont="1" applyFill="1" applyBorder="1" applyAlignment="1"/>
    <xf numFmtId="0" fontId="23" fillId="0" borderId="61" xfId="2" applyFont="1" applyFill="1" applyBorder="1" applyAlignment="1"/>
    <xf numFmtId="43" fontId="23" fillId="0" borderId="59" xfId="2" applyNumberFormat="1" applyFont="1" applyFill="1" applyBorder="1"/>
    <xf numFmtId="43" fontId="23" fillId="0" borderId="62" xfId="2" applyNumberFormat="1" applyFont="1" applyFill="1" applyBorder="1"/>
    <xf numFmtId="0" fontId="4" fillId="0" borderId="12" xfId="2" applyFont="1" applyFill="1" applyBorder="1" applyAlignment="1">
      <alignment horizontal="center" vertical="center" shrinkToFit="1"/>
    </xf>
    <xf numFmtId="0" fontId="0" fillId="0" borderId="0" xfId="0" applyFill="1"/>
    <xf numFmtId="0" fontId="63" fillId="0" borderId="6" xfId="3" applyFont="1" applyBorder="1"/>
    <xf numFmtId="0" fontId="63" fillId="0" borderId="8" xfId="3" applyFont="1" applyBorder="1"/>
    <xf numFmtId="0" fontId="55" fillId="0" borderId="0" xfId="0" applyNumberFormat="1" applyFont="1" applyAlignment="1">
      <alignment horizontal="left"/>
    </xf>
    <xf numFmtId="205" fontId="74" fillId="13" borderId="5" xfId="6" applyNumberFormat="1" applyFont="1" applyFill="1" applyBorder="1" applyAlignment="1">
      <alignment horizontal="center" vertical="center" wrapText="1"/>
    </xf>
    <xf numFmtId="1" fontId="4" fillId="0" borderId="12" xfId="2" applyNumberFormat="1" applyFont="1" applyFill="1" applyBorder="1" applyAlignment="1">
      <alignment horizontal="center" shrinkToFit="1"/>
    </xf>
    <xf numFmtId="188" fontId="4" fillId="0" borderId="12" xfId="2" applyNumberFormat="1" applyFont="1" applyFill="1" applyBorder="1" applyAlignment="1">
      <alignment horizontal="center" shrinkToFit="1"/>
    </xf>
    <xf numFmtId="188" fontId="4" fillId="0" borderId="8" xfId="2" applyNumberFormat="1" applyFont="1" applyFill="1" applyBorder="1" applyAlignment="1">
      <alignment horizontal="center" shrinkToFit="1"/>
    </xf>
    <xf numFmtId="0" fontId="4" fillId="0" borderId="1" xfId="2" applyFont="1" applyFill="1" applyBorder="1" applyAlignment="1">
      <alignment horizontal="center" shrinkToFit="1"/>
    </xf>
    <xf numFmtId="0" fontId="4" fillId="0" borderId="9" xfId="2" applyFont="1" applyFill="1" applyBorder="1" applyAlignment="1">
      <alignment horizontal="center" shrinkToFit="1"/>
    </xf>
    <xf numFmtId="43" fontId="4" fillId="0" borderId="23" xfId="2" applyNumberFormat="1" applyFont="1" applyFill="1" applyBorder="1" applyAlignment="1">
      <alignment horizontal="center" shrinkToFit="1"/>
    </xf>
    <xf numFmtId="43" fontId="4" fillId="0" borderId="11" xfId="2" applyNumberFormat="1" applyFont="1" applyFill="1" applyBorder="1" applyAlignment="1">
      <alignment horizontal="center" shrinkToFit="1"/>
    </xf>
    <xf numFmtId="43" fontId="4" fillId="0" borderId="12" xfId="2" applyNumberFormat="1" applyFont="1" applyFill="1" applyBorder="1" applyAlignment="1">
      <alignment horizontal="center" shrinkToFit="1"/>
    </xf>
    <xf numFmtId="43" fontId="4" fillId="0" borderId="0" xfId="2" applyNumberFormat="1" applyFont="1" applyFill="1" applyAlignment="1">
      <alignment horizontal="center" vertical="center" shrinkToFit="1"/>
    </xf>
    <xf numFmtId="0" fontId="4" fillId="0" borderId="0" xfId="2" applyFont="1" applyFill="1" applyAlignment="1">
      <alignment horizontal="center" vertical="center" shrinkToFit="1"/>
    </xf>
    <xf numFmtId="187" fontId="41" fillId="10" borderId="64" xfId="0" applyNumberFormat="1" applyFont="1" applyFill="1" applyBorder="1"/>
    <xf numFmtId="0" fontId="54" fillId="0" borderId="0" xfId="0" applyFont="1" applyBorder="1" applyAlignment="1">
      <alignment horizontal="center"/>
    </xf>
    <xf numFmtId="0" fontId="45" fillId="0" borderId="0" xfId="0" applyFont="1" applyBorder="1" applyAlignment="1">
      <alignment horizontal="center"/>
    </xf>
    <xf numFmtId="43" fontId="45" fillId="0" borderId="0" xfId="1" applyFont="1" applyBorder="1"/>
    <xf numFmtId="0" fontId="0" fillId="0" borderId="0" xfId="0" applyBorder="1"/>
    <xf numFmtId="196" fontId="23" fillId="0" borderId="0" xfId="0" applyNumberFormat="1" applyFont="1" applyBorder="1" applyAlignment="1">
      <alignment horizontal="center"/>
    </xf>
    <xf numFmtId="188" fontId="5" fillId="9" borderId="24" xfId="2" applyNumberFormat="1" applyFont="1" applyFill="1" applyBorder="1" applyAlignment="1">
      <alignment horizontal="centerContinuous"/>
    </xf>
    <xf numFmtId="0" fontId="5" fillId="9" borderId="24" xfId="2" applyFont="1" applyFill="1" applyBorder="1" applyAlignment="1">
      <alignment horizontal="centerContinuous"/>
    </xf>
    <xf numFmtId="0" fontId="44" fillId="9" borderId="25" xfId="2" applyFont="1" applyFill="1" applyBorder="1" applyAlignment="1">
      <alignment horizontal="centerContinuous"/>
    </xf>
    <xf numFmtId="0" fontId="75" fillId="2" borderId="0" xfId="0" applyFont="1" applyFill="1"/>
    <xf numFmtId="0" fontId="76" fillId="2" borderId="0" xfId="0" applyFont="1" applyFill="1"/>
    <xf numFmtId="0" fontId="55" fillId="0" borderId="56" xfId="0" applyFont="1" applyBorder="1" applyAlignment="1">
      <alignment horizontal="center"/>
    </xf>
    <xf numFmtId="0" fontId="55" fillId="0" borderId="32" xfId="0" applyFont="1" applyBorder="1" applyAlignment="1">
      <alignment horizontal="center"/>
    </xf>
    <xf numFmtId="0" fontId="52" fillId="0" borderId="0" xfId="4" applyFont="1"/>
    <xf numFmtId="0" fontId="55" fillId="0" borderId="0" xfId="4" applyFont="1" applyAlignment="1">
      <alignment horizontal="center" vertical="top" wrapText="1"/>
    </xf>
    <xf numFmtId="0" fontId="55" fillId="0" borderId="0" xfId="4" applyFont="1" applyAlignment="1">
      <alignment vertical="top" wrapText="1"/>
    </xf>
    <xf numFmtId="0" fontId="55" fillId="0" borderId="0" xfId="4" applyFont="1"/>
    <xf numFmtId="0" fontId="79" fillId="0" borderId="0" xfId="4" applyFont="1" applyAlignment="1">
      <alignment wrapText="1"/>
    </xf>
    <xf numFmtId="194" fontId="55" fillId="0" borderId="0" xfId="7" applyNumberFormat="1" applyFont="1" applyAlignment="1">
      <alignment horizontal="center"/>
    </xf>
    <xf numFmtId="0" fontId="80" fillId="0" borderId="0" xfId="4" applyFont="1" applyAlignment="1">
      <alignment wrapText="1"/>
    </xf>
    <xf numFmtId="0" fontId="1" fillId="0" borderId="0" xfId="4"/>
    <xf numFmtId="49" fontId="73" fillId="5" borderId="11" xfId="7" applyNumberFormat="1" applyFont="1" applyFill="1" applyBorder="1" applyAlignment="1">
      <alignment horizontal="left"/>
    </xf>
    <xf numFmtId="1" fontId="10" fillId="0" borderId="3" xfId="3" applyNumberFormat="1" applyFont="1" applyBorder="1" applyAlignment="1">
      <alignment horizontal="center"/>
    </xf>
    <xf numFmtId="1" fontId="10" fillId="0" borderId="5" xfId="3" applyNumberFormat="1" applyFont="1" applyBorder="1" applyAlignment="1">
      <alignment horizontal="center"/>
    </xf>
    <xf numFmtId="43" fontId="4" fillId="9" borderId="11" xfId="2" applyNumberFormat="1" applyFont="1" applyFill="1" applyBorder="1" applyAlignment="1">
      <alignment horizontal="center" shrinkToFit="1"/>
    </xf>
    <xf numFmtId="43" fontId="45" fillId="0" borderId="24" xfId="1" applyFont="1" applyBorder="1"/>
    <xf numFmtId="0" fontId="1" fillId="0" borderId="0" xfId="0" applyFont="1"/>
    <xf numFmtId="0" fontId="58" fillId="0" borderId="0" xfId="0" applyFont="1" applyAlignment="1">
      <alignment horizontal="left"/>
    </xf>
    <xf numFmtId="4" fontId="59" fillId="0" borderId="65" xfId="0" applyNumberFormat="1" applyFont="1" applyBorder="1" applyAlignment="1">
      <alignment horizontal="center"/>
    </xf>
    <xf numFmtId="0" fontId="72" fillId="0" borderId="8" xfId="0" applyFont="1" applyBorder="1" applyAlignment="1">
      <alignment horizontal="center"/>
    </xf>
    <xf numFmtId="0" fontId="72" fillId="0" borderId="9" xfId="0" applyFont="1" applyBorder="1" applyAlignment="1">
      <alignment horizontal="center"/>
    </xf>
    <xf numFmtId="0" fontId="62" fillId="0" borderId="17" xfId="9" applyFont="1" applyBorder="1" applyAlignment="1">
      <alignment horizontal="center" vertical="center"/>
    </xf>
    <xf numFmtId="0" fontId="60" fillId="0" borderId="12" xfId="9" applyBorder="1" applyAlignment="1">
      <alignment vertical="center"/>
    </xf>
    <xf numFmtId="0" fontId="62" fillId="0" borderId="11" xfId="9" applyFont="1" applyBorder="1" applyAlignment="1">
      <alignment horizontal="center"/>
    </xf>
    <xf numFmtId="0" fontId="64" fillId="0" borderId="0" xfId="9" applyFont="1" applyAlignment="1">
      <alignment horizontal="center"/>
    </xf>
    <xf numFmtId="0" fontId="62" fillId="0" borderId="4" xfId="9" applyFont="1" applyBorder="1" applyAlignment="1">
      <alignment horizontal="center" vertical="center"/>
    </xf>
    <xf numFmtId="0" fontId="62" fillId="0" borderId="2" xfId="9" applyFont="1" applyBorder="1" applyAlignment="1">
      <alignment horizontal="center" vertical="center"/>
    </xf>
    <xf numFmtId="0" fontId="62" fillId="0" borderId="6" xfId="9" applyFont="1" applyBorder="1" applyAlignment="1">
      <alignment horizontal="center" vertical="center"/>
    </xf>
    <xf numFmtId="0" fontId="60" fillId="0" borderId="8" xfId="9" applyBorder="1" applyAlignment="1">
      <alignment vertical="center"/>
    </xf>
    <xf numFmtId="0" fontId="58" fillId="0" borderId="3" xfId="0" applyFont="1" applyBorder="1" applyAlignment="1">
      <alignment horizontal="left"/>
    </xf>
    <xf numFmtId="0" fontId="58" fillId="0" borderId="5" xfId="0" applyFont="1" applyBorder="1" applyAlignment="1">
      <alignment horizontal="left"/>
    </xf>
    <xf numFmtId="0" fontId="72" fillId="0" borderId="6" xfId="0" applyFont="1" applyBorder="1" applyAlignment="1">
      <alignment horizontal="center"/>
    </xf>
    <xf numFmtId="0" fontId="72" fillId="0" borderId="7" xfId="0" applyFont="1" applyBorder="1" applyAlignment="1">
      <alignment horizontal="center"/>
    </xf>
    <xf numFmtId="0" fontId="72" fillId="0" borderId="10" xfId="0" applyFont="1" applyBorder="1" applyAlignment="1">
      <alignment horizontal="center"/>
    </xf>
    <xf numFmtId="0" fontId="72" fillId="0" borderId="29" xfId="0" applyFont="1" applyBorder="1" applyAlignment="1">
      <alignment horizontal="center"/>
    </xf>
    <xf numFmtId="0" fontId="72" fillId="0" borderId="23" xfId="0" applyFont="1" applyBorder="1" applyAlignment="1">
      <alignment horizontal="center"/>
    </xf>
    <xf numFmtId="192" fontId="72" fillId="0" borderId="2" xfId="1" applyNumberFormat="1" applyFont="1" applyBorder="1" applyAlignment="1">
      <alignment horizontal="center"/>
    </xf>
    <xf numFmtId="192" fontId="72" fillId="0" borderId="5" xfId="1" applyNumberFormat="1" applyFont="1" applyBorder="1" applyAlignment="1">
      <alignment horizontal="center"/>
    </xf>
    <xf numFmtId="0" fontId="72" fillId="0" borderId="1" xfId="0" applyFont="1" applyBorder="1" applyAlignment="1">
      <alignment horizontal="center"/>
    </xf>
    <xf numFmtId="192" fontId="72" fillId="0" borderId="8" xfId="1" applyNumberFormat="1" applyFont="1" applyBorder="1" applyAlignment="1">
      <alignment horizontal="center"/>
    </xf>
    <xf numFmtId="192" fontId="72" fillId="0" borderId="9" xfId="1" applyNumberFormat="1" applyFont="1" applyBorder="1" applyAlignment="1">
      <alignment horizontal="center"/>
    </xf>
    <xf numFmtId="0" fontId="72" fillId="0" borderId="2" xfId="0" applyFont="1" applyBorder="1" applyAlignment="1">
      <alignment horizontal="center"/>
    </xf>
    <xf numFmtId="0" fontId="72" fillId="0" borderId="5" xfId="0" applyFont="1" applyBorder="1" applyAlignment="1">
      <alignment horizontal="center"/>
    </xf>
    <xf numFmtId="192" fontId="72" fillId="0" borderId="10" xfId="1" applyNumberFormat="1" applyFont="1" applyBorder="1" applyAlignment="1">
      <alignment horizontal="center"/>
    </xf>
    <xf numFmtId="192" fontId="72" fillId="0" borderId="23" xfId="1" applyNumberFormat="1" applyFont="1" applyBorder="1" applyAlignment="1">
      <alignment horizontal="center"/>
    </xf>
    <xf numFmtId="192" fontId="72" fillId="0" borderId="2" xfId="1" applyNumberFormat="1" applyFont="1" applyBorder="1" applyAlignment="1">
      <alignment horizontal="center" vertical="center"/>
    </xf>
    <xf numFmtId="192" fontId="72" fillId="0" borderId="3" xfId="1" applyNumberFormat="1" applyFont="1" applyBorder="1" applyAlignment="1">
      <alignment horizontal="center" vertical="center"/>
    </xf>
    <xf numFmtId="192" fontId="72" fillId="0" borderId="5" xfId="1" applyNumberFormat="1" applyFont="1" applyBorder="1" applyAlignment="1">
      <alignment horizontal="center" vertical="center"/>
    </xf>
    <xf numFmtId="192" fontId="72" fillId="0" borderId="29" xfId="1" applyNumberFormat="1" applyFont="1" applyBorder="1" applyAlignment="1">
      <alignment horizontal="center"/>
    </xf>
    <xf numFmtId="0" fontId="72" fillId="0" borderId="3" xfId="0" applyFont="1" applyBorder="1" applyAlignment="1">
      <alignment horizontal="center"/>
    </xf>
    <xf numFmtId="0" fontId="25" fillId="0" borderId="66" xfId="0" applyFont="1" applyBorder="1" applyAlignment="1">
      <alignment horizontal="center"/>
    </xf>
    <xf numFmtId="0" fontId="25" fillId="0" borderId="0" xfId="0" applyFont="1" applyAlignment="1">
      <alignment horizontal="center"/>
    </xf>
    <xf numFmtId="43" fontId="8" fillId="0" borderId="10" xfId="3" applyNumberFormat="1" applyFont="1" applyFill="1" applyBorder="1" applyAlignment="1">
      <alignment horizontal="center"/>
    </xf>
    <xf numFmtId="43" fontId="8" fillId="0" borderId="29" xfId="3" applyNumberFormat="1" applyFont="1" applyFill="1" applyBorder="1" applyAlignment="1">
      <alignment horizontal="center"/>
    </xf>
    <xf numFmtId="43" fontId="8" fillId="0" borderId="23" xfId="3" applyNumberFormat="1" applyFont="1" applyFill="1" applyBorder="1" applyAlignment="1">
      <alignment horizontal="center"/>
    </xf>
    <xf numFmtId="0" fontId="8" fillId="0" borderId="3" xfId="3" applyFont="1" applyBorder="1" applyAlignment="1">
      <alignment horizontal="center"/>
    </xf>
    <xf numFmtId="0" fontId="10" fillId="0" borderId="10" xfId="3" applyFont="1" applyBorder="1" applyAlignment="1">
      <alignment horizontal="center" vertical="center"/>
    </xf>
    <xf numFmtId="0" fontId="10" fillId="0" borderId="29" xfId="3" applyFont="1" applyBorder="1" applyAlignment="1">
      <alignment horizontal="center" vertical="center"/>
    </xf>
    <xf numFmtId="0" fontId="10" fillId="0" borderId="23" xfId="3" applyFont="1" applyBorder="1" applyAlignment="1">
      <alignment horizontal="center" vertical="center"/>
    </xf>
    <xf numFmtId="0" fontId="8" fillId="0" borderId="0" xfId="3" applyFont="1" applyBorder="1" applyAlignment="1">
      <alignment horizontal="center"/>
    </xf>
    <xf numFmtId="189" fontId="7" fillId="0" borderId="4" xfId="0" applyNumberFormat="1" applyFont="1" applyBorder="1" applyAlignment="1">
      <alignment horizontal="center"/>
    </xf>
    <xf numFmtId="189" fontId="7" fillId="0" borderId="12" xfId="0" applyNumberFormat="1" applyFont="1" applyBorder="1" applyAlignment="1">
      <alignment horizontal="center"/>
    </xf>
    <xf numFmtId="189" fontId="7" fillId="0" borderId="17" xfId="0" applyNumberFormat="1" applyFont="1" applyBorder="1" applyAlignment="1">
      <alignment horizontal="center"/>
    </xf>
    <xf numFmtId="0" fontId="54" fillId="0" borderId="18" xfId="0" applyFont="1" applyBorder="1" applyAlignment="1">
      <alignment horizontal="left"/>
    </xf>
    <xf numFmtId="0" fontId="54" fillId="0" borderId="0" xfId="0" applyFont="1" applyBorder="1" applyAlignment="1">
      <alignment horizontal="left"/>
    </xf>
    <xf numFmtId="0" fontId="54" fillId="0" borderId="19" xfId="0" applyFont="1" applyBorder="1" applyAlignment="1">
      <alignment horizontal="left"/>
    </xf>
    <xf numFmtId="0" fontId="54" fillId="0" borderId="67" xfId="0" applyFont="1" applyBorder="1" applyAlignment="1">
      <alignment horizontal="left"/>
    </xf>
    <xf numFmtId="0" fontId="54" fillId="0" borderId="1" xfId="0" applyFont="1" applyBorder="1" applyAlignment="1">
      <alignment horizontal="left"/>
    </xf>
    <xf numFmtId="0" fontId="54" fillId="0" borderId="68" xfId="0" applyFont="1" applyBorder="1" applyAlignment="1">
      <alignment horizontal="left"/>
    </xf>
    <xf numFmtId="0" fontId="52" fillId="0" borderId="0" xfId="0" applyFont="1" applyAlignment="1">
      <alignment horizontal="center"/>
    </xf>
    <xf numFmtId="0" fontId="54" fillId="0" borderId="0" xfId="0" applyFont="1" applyAlignment="1">
      <alignment horizontal="left"/>
    </xf>
    <xf numFmtId="0" fontId="54" fillId="0" borderId="0" xfId="0" applyFont="1" applyAlignment="1">
      <alignment horizontal="right"/>
    </xf>
    <xf numFmtId="0" fontId="53" fillId="0" borderId="71" xfId="0" applyFont="1" applyBorder="1" applyAlignment="1">
      <alignment horizontal="center"/>
    </xf>
    <xf numFmtId="0" fontId="53" fillId="0" borderId="47" xfId="0" applyFont="1" applyBorder="1" applyAlignment="1">
      <alignment horizontal="center"/>
    </xf>
    <xf numFmtId="0" fontId="53" fillId="0" borderId="48" xfId="0" applyFont="1" applyBorder="1" applyAlignment="1">
      <alignment horizontal="center"/>
    </xf>
    <xf numFmtId="0" fontId="54" fillId="0" borderId="50" xfId="0" applyFont="1" applyBorder="1" applyAlignment="1">
      <alignment horizontal="center"/>
    </xf>
    <xf numFmtId="0" fontId="54" fillId="0" borderId="11" xfId="0" applyFont="1" applyBorder="1" applyAlignment="1">
      <alignment horizontal="center"/>
    </xf>
    <xf numFmtId="0" fontId="54" fillId="0" borderId="49" xfId="0" applyFont="1" applyBorder="1" applyAlignment="1">
      <alignment horizontal="center"/>
    </xf>
    <xf numFmtId="0" fontId="54" fillId="0" borderId="17" xfId="0" applyFont="1" applyBorder="1" applyAlignment="1">
      <alignment horizontal="center"/>
    </xf>
    <xf numFmtId="0" fontId="54" fillId="0" borderId="18" xfId="0" applyFont="1" applyBorder="1" applyAlignment="1">
      <alignment horizontal="center"/>
    </xf>
    <xf numFmtId="0" fontId="54" fillId="0" borderId="0" xfId="0" applyFont="1" applyBorder="1" applyAlignment="1">
      <alignment horizontal="center"/>
    </xf>
    <xf numFmtId="0" fontId="54" fillId="0" borderId="19" xfId="0" applyFont="1" applyBorder="1" applyAlignment="1">
      <alignment horizontal="center"/>
    </xf>
    <xf numFmtId="3" fontId="54" fillId="0" borderId="10" xfId="0" applyNumberFormat="1" applyFont="1" applyBorder="1" applyAlignment="1">
      <alignment horizontal="center"/>
    </xf>
    <xf numFmtId="3" fontId="54" fillId="0" borderId="29" xfId="0" applyNumberFormat="1" applyFont="1" applyBorder="1" applyAlignment="1">
      <alignment horizontal="center"/>
    </xf>
    <xf numFmtId="3" fontId="54" fillId="0" borderId="51" xfId="0" applyNumberFormat="1" applyFont="1" applyBorder="1" applyAlignment="1">
      <alignment horizontal="center"/>
    </xf>
    <xf numFmtId="0" fontId="53" fillId="0" borderId="69" xfId="0" applyFont="1" applyBorder="1" applyAlignment="1">
      <alignment horizontal="center"/>
    </xf>
    <xf numFmtId="0" fontId="53" fillId="0" borderId="3" xfId="0" applyFont="1" applyBorder="1" applyAlignment="1">
      <alignment horizontal="center"/>
    </xf>
    <xf numFmtId="0" fontId="53" fillId="0" borderId="70" xfId="0" applyFont="1" applyBorder="1" applyAlignment="1">
      <alignment horizontal="center"/>
    </xf>
    <xf numFmtId="43" fontId="29" fillId="5" borderId="10" xfId="1" applyFont="1" applyFill="1" applyBorder="1" applyAlignment="1" applyProtection="1">
      <alignment horizontal="center"/>
      <protection locked="0"/>
    </xf>
    <xf numFmtId="43" fontId="29" fillId="5" borderId="23" xfId="1" applyFont="1" applyFill="1" applyBorder="1" applyAlignment="1" applyProtection="1">
      <alignment horizontal="center"/>
      <protection locked="0"/>
    </xf>
  </cellXfs>
  <cellStyles count="11">
    <cellStyle name="Normal_Book4" xfId="2"/>
    <cellStyle name="Normal_cit_pv4602" xfId="3"/>
    <cellStyle name="Normal_Help" xfId="4"/>
    <cellStyle name="Normal_NOV2004" xfId="5"/>
    <cellStyle name="Normal_Payroll detail_2003_01" xfId="6"/>
    <cellStyle name="Normal_PV2548" xfId="7"/>
    <cellStyle name="Normal_WTax2548" xfId="8"/>
    <cellStyle name="Normal_แบบฟอร์มประกันสังคม" xfId="9"/>
    <cellStyle name="เครื่องหมายจุลภาค" xfId="1" builtinId="3"/>
    <cellStyle name="ปกติ" xfId="0" builtinId="0"/>
    <cellStyle name="เปอร์เซ็นต์" xfId="10" builtinId="5"/>
  </cellStyles>
  <dxfs count="18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86" name="Line 1"/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87" name="Line 2"/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88" name="Line 3"/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89" name="Line 4"/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90" name="Line 5"/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91" name="Line 6"/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92" name="Line 7"/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93" name="Line 8"/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94" name="Line 9"/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8</xdr:col>
      <xdr:colOff>0</xdr:colOff>
      <xdr:row>9</xdr:row>
      <xdr:rowOff>0</xdr:rowOff>
    </xdr:to>
    <xdr:sp macro="" textlink="">
      <xdr:nvSpPr>
        <xdr:cNvPr id="38995" name="Line 10"/>
        <xdr:cNvSpPr>
          <a:spLocks noChangeShapeType="1"/>
        </xdr:cNvSpPr>
      </xdr:nvSpPr>
      <xdr:spPr bwMode="auto">
        <a:xfrm>
          <a:off x="10210800" y="171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1162050</xdr:colOff>
      <xdr:row>34</xdr:row>
      <xdr:rowOff>209550</xdr:rowOff>
    </xdr:from>
    <xdr:to>
      <xdr:col>6</xdr:col>
      <xdr:colOff>0</xdr:colOff>
      <xdr:row>34</xdr:row>
      <xdr:rowOff>219075</xdr:rowOff>
    </xdr:to>
    <xdr:sp macro="" textlink="">
      <xdr:nvSpPr>
        <xdr:cNvPr id="40984" name="Line 7"/>
        <xdr:cNvSpPr>
          <a:spLocks noChangeShapeType="1"/>
        </xdr:cNvSpPr>
      </xdr:nvSpPr>
      <xdr:spPr bwMode="auto">
        <a:xfrm>
          <a:off x="2686050" y="9048750"/>
          <a:ext cx="2886075" cy="9525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1933575</xdr:colOff>
      <xdr:row>35</xdr:row>
      <xdr:rowOff>209550</xdr:rowOff>
    </xdr:from>
    <xdr:to>
      <xdr:col>5</xdr:col>
      <xdr:colOff>47625</xdr:colOff>
      <xdr:row>35</xdr:row>
      <xdr:rowOff>209550</xdr:rowOff>
    </xdr:to>
    <xdr:sp macro="" textlink="">
      <xdr:nvSpPr>
        <xdr:cNvPr id="40985" name="Line 8"/>
        <xdr:cNvSpPr>
          <a:spLocks noChangeShapeType="1"/>
        </xdr:cNvSpPr>
      </xdr:nvSpPr>
      <xdr:spPr bwMode="auto">
        <a:xfrm>
          <a:off x="3457575" y="9324975"/>
          <a:ext cx="100965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666750</xdr:colOff>
      <xdr:row>28</xdr:row>
      <xdr:rowOff>228600</xdr:rowOff>
    </xdr:from>
    <xdr:to>
      <xdr:col>3</xdr:col>
      <xdr:colOff>1866900</xdr:colOff>
      <xdr:row>28</xdr:row>
      <xdr:rowOff>228600</xdr:rowOff>
    </xdr:to>
    <xdr:sp macro="" textlink="">
      <xdr:nvSpPr>
        <xdr:cNvPr id="40986" name="Line 9"/>
        <xdr:cNvSpPr>
          <a:spLocks noChangeShapeType="1"/>
        </xdr:cNvSpPr>
      </xdr:nvSpPr>
      <xdr:spPr bwMode="auto">
        <a:xfrm>
          <a:off x="2190750" y="7562850"/>
          <a:ext cx="120015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933450</xdr:colOff>
      <xdr:row>29</xdr:row>
      <xdr:rowOff>228600</xdr:rowOff>
    </xdr:from>
    <xdr:to>
      <xdr:col>4</xdr:col>
      <xdr:colOff>19050</xdr:colOff>
      <xdr:row>29</xdr:row>
      <xdr:rowOff>228600</xdr:rowOff>
    </xdr:to>
    <xdr:sp macro="" textlink="">
      <xdr:nvSpPr>
        <xdr:cNvPr id="40987" name="Line 10"/>
        <xdr:cNvSpPr>
          <a:spLocks noChangeShapeType="1"/>
        </xdr:cNvSpPr>
      </xdr:nvSpPr>
      <xdr:spPr bwMode="auto">
        <a:xfrm>
          <a:off x="2457450" y="7839075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504825</xdr:colOff>
      <xdr:row>29</xdr:row>
      <xdr:rowOff>228600</xdr:rowOff>
    </xdr:from>
    <xdr:to>
      <xdr:col>5</xdr:col>
      <xdr:colOff>495300</xdr:colOff>
      <xdr:row>29</xdr:row>
      <xdr:rowOff>228600</xdr:rowOff>
    </xdr:to>
    <xdr:sp macro="" textlink="">
      <xdr:nvSpPr>
        <xdr:cNvPr id="40988" name="Line 11"/>
        <xdr:cNvSpPr>
          <a:spLocks noChangeShapeType="1"/>
        </xdr:cNvSpPr>
      </xdr:nvSpPr>
      <xdr:spPr bwMode="auto">
        <a:xfrm>
          <a:off x="4000500" y="78390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1495425</xdr:colOff>
      <xdr:row>34</xdr:row>
      <xdr:rowOff>209550</xdr:rowOff>
    </xdr:from>
    <xdr:to>
      <xdr:col>14</xdr:col>
      <xdr:colOff>333375</xdr:colOff>
      <xdr:row>34</xdr:row>
      <xdr:rowOff>219075</xdr:rowOff>
    </xdr:to>
    <xdr:sp macro="" textlink="">
      <xdr:nvSpPr>
        <xdr:cNvPr id="40989" name="Line 19"/>
        <xdr:cNvSpPr>
          <a:spLocks noChangeShapeType="1"/>
        </xdr:cNvSpPr>
      </xdr:nvSpPr>
      <xdr:spPr bwMode="auto">
        <a:xfrm>
          <a:off x="10477500" y="9048750"/>
          <a:ext cx="2886075" cy="9525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1933575</xdr:colOff>
      <xdr:row>35</xdr:row>
      <xdr:rowOff>209550</xdr:rowOff>
    </xdr:from>
    <xdr:to>
      <xdr:col>13</xdr:col>
      <xdr:colOff>47625</xdr:colOff>
      <xdr:row>35</xdr:row>
      <xdr:rowOff>209550</xdr:rowOff>
    </xdr:to>
    <xdr:sp macro="" textlink="">
      <xdr:nvSpPr>
        <xdr:cNvPr id="40990" name="Line 20"/>
        <xdr:cNvSpPr>
          <a:spLocks noChangeShapeType="1"/>
        </xdr:cNvSpPr>
      </xdr:nvSpPr>
      <xdr:spPr bwMode="auto">
        <a:xfrm>
          <a:off x="10915650" y="9324975"/>
          <a:ext cx="100965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638175</xdr:colOff>
      <xdr:row>28</xdr:row>
      <xdr:rowOff>219075</xdr:rowOff>
    </xdr:from>
    <xdr:to>
      <xdr:col>11</xdr:col>
      <xdr:colOff>1781175</xdr:colOff>
      <xdr:row>28</xdr:row>
      <xdr:rowOff>219075</xdr:rowOff>
    </xdr:to>
    <xdr:sp macro="" textlink="">
      <xdr:nvSpPr>
        <xdr:cNvPr id="40991" name="Line 21"/>
        <xdr:cNvSpPr>
          <a:spLocks noChangeShapeType="1"/>
        </xdr:cNvSpPr>
      </xdr:nvSpPr>
      <xdr:spPr bwMode="auto">
        <a:xfrm>
          <a:off x="9620250" y="7553325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962025</xdr:colOff>
      <xdr:row>29</xdr:row>
      <xdr:rowOff>219075</xdr:rowOff>
    </xdr:from>
    <xdr:to>
      <xdr:col>12</xdr:col>
      <xdr:colOff>19050</xdr:colOff>
      <xdr:row>29</xdr:row>
      <xdr:rowOff>219075</xdr:rowOff>
    </xdr:to>
    <xdr:sp macro="" textlink="">
      <xdr:nvSpPr>
        <xdr:cNvPr id="40992" name="Line 22"/>
        <xdr:cNvSpPr>
          <a:spLocks noChangeShapeType="1"/>
        </xdr:cNvSpPr>
      </xdr:nvSpPr>
      <xdr:spPr bwMode="auto">
        <a:xfrm>
          <a:off x="9944100" y="7829550"/>
          <a:ext cx="10287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542925</xdr:colOff>
      <xdr:row>29</xdr:row>
      <xdr:rowOff>219075</xdr:rowOff>
    </xdr:from>
    <xdr:to>
      <xdr:col>13</xdr:col>
      <xdr:colOff>533400</xdr:colOff>
      <xdr:row>29</xdr:row>
      <xdr:rowOff>219075</xdr:rowOff>
    </xdr:to>
    <xdr:sp macro="" textlink="">
      <xdr:nvSpPr>
        <xdr:cNvPr id="40993" name="Line 23"/>
        <xdr:cNvSpPr>
          <a:spLocks noChangeShapeType="1"/>
        </xdr:cNvSpPr>
      </xdr:nvSpPr>
      <xdr:spPr bwMode="auto">
        <a:xfrm>
          <a:off x="11496675" y="78295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32</xdr:row>
      <xdr:rowOff>47625</xdr:rowOff>
    </xdr:from>
    <xdr:to>
      <xdr:col>15</xdr:col>
      <xdr:colOff>0</xdr:colOff>
      <xdr:row>32</xdr:row>
      <xdr:rowOff>228600</xdr:rowOff>
    </xdr:to>
    <xdr:sp macro="" textlink="">
      <xdr:nvSpPr>
        <xdr:cNvPr id="40994" name="Rectangle 25"/>
        <xdr:cNvSpPr>
          <a:spLocks noChangeArrowheads="1"/>
        </xdr:cNvSpPr>
      </xdr:nvSpPr>
      <xdr:spPr bwMode="auto">
        <a:xfrm>
          <a:off x="14163675" y="8334375"/>
          <a:ext cx="0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0</xdr:colOff>
      <xdr:row>8</xdr:row>
      <xdr:rowOff>38100</xdr:rowOff>
    </xdr:from>
    <xdr:to>
      <xdr:col>15</xdr:col>
      <xdr:colOff>0</xdr:colOff>
      <xdr:row>8</xdr:row>
      <xdr:rowOff>238125</xdr:rowOff>
    </xdr:to>
    <xdr:sp macro="" textlink="">
      <xdr:nvSpPr>
        <xdr:cNvPr id="40995" name="Rectangle 26"/>
        <xdr:cNvSpPr>
          <a:spLocks noChangeArrowheads="1"/>
        </xdr:cNvSpPr>
      </xdr:nvSpPr>
      <xdr:spPr bwMode="auto">
        <a:xfrm>
          <a:off x="14163675" y="2247900"/>
          <a:ext cx="0" cy="200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0</xdr:colOff>
      <xdr:row>32</xdr:row>
      <xdr:rowOff>85725</xdr:rowOff>
    </xdr:from>
    <xdr:to>
      <xdr:col>15</xdr:col>
      <xdr:colOff>0</xdr:colOff>
      <xdr:row>32</xdr:row>
      <xdr:rowOff>200025</xdr:rowOff>
    </xdr:to>
    <xdr:sp macro="" textlink="">
      <xdr:nvSpPr>
        <xdr:cNvPr id="40996" name="Line 27"/>
        <xdr:cNvSpPr>
          <a:spLocks noChangeShapeType="1"/>
        </xdr:cNvSpPr>
      </xdr:nvSpPr>
      <xdr:spPr bwMode="auto">
        <a:xfrm flipV="1">
          <a:off x="14163675" y="8372475"/>
          <a:ext cx="0" cy="114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33</xdr:row>
      <xdr:rowOff>66675</xdr:rowOff>
    </xdr:from>
    <xdr:to>
      <xdr:col>15</xdr:col>
      <xdr:colOff>0</xdr:colOff>
      <xdr:row>33</xdr:row>
      <xdr:rowOff>247650</xdr:rowOff>
    </xdr:to>
    <xdr:sp macro="" textlink="">
      <xdr:nvSpPr>
        <xdr:cNvPr id="40997" name="Rectangle 28"/>
        <xdr:cNvSpPr>
          <a:spLocks noChangeArrowheads="1"/>
        </xdr:cNvSpPr>
      </xdr:nvSpPr>
      <xdr:spPr bwMode="auto">
        <a:xfrm>
          <a:off x="14163675" y="8629650"/>
          <a:ext cx="0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0</xdr:colOff>
      <xdr:row>34</xdr:row>
      <xdr:rowOff>66675</xdr:rowOff>
    </xdr:from>
    <xdr:to>
      <xdr:col>15</xdr:col>
      <xdr:colOff>0</xdr:colOff>
      <xdr:row>34</xdr:row>
      <xdr:rowOff>247650</xdr:rowOff>
    </xdr:to>
    <xdr:sp macro="" textlink="">
      <xdr:nvSpPr>
        <xdr:cNvPr id="40998" name="Rectangle 29"/>
        <xdr:cNvSpPr>
          <a:spLocks noChangeArrowheads="1"/>
        </xdr:cNvSpPr>
      </xdr:nvSpPr>
      <xdr:spPr bwMode="auto">
        <a:xfrm>
          <a:off x="14163675" y="8905875"/>
          <a:ext cx="0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0</xdr:colOff>
      <xdr:row>35</xdr:row>
      <xdr:rowOff>66675</xdr:rowOff>
    </xdr:from>
    <xdr:to>
      <xdr:col>15</xdr:col>
      <xdr:colOff>0</xdr:colOff>
      <xdr:row>35</xdr:row>
      <xdr:rowOff>247650</xdr:rowOff>
    </xdr:to>
    <xdr:sp macro="" textlink="">
      <xdr:nvSpPr>
        <xdr:cNvPr id="40999" name="Rectangle 30"/>
        <xdr:cNvSpPr>
          <a:spLocks noChangeArrowheads="1"/>
        </xdr:cNvSpPr>
      </xdr:nvSpPr>
      <xdr:spPr bwMode="auto">
        <a:xfrm>
          <a:off x="14163675" y="9182100"/>
          <a:ext cx="0" cy="180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0</xdr:colOff>
      <xdr:row>34</xdr:row>
      <xdr:rowOff>209550</xdr:rowOff>
    </xdr:from>
    <xdr:to>
      <xdr:col>15</xdr:col>
      <xdr:colOff>0</xdr:colOff>
      <xdr:row>34</xdr:row>
      <xdr:rowOff>219075</xdr:rowOff>
    </xdr:to>
    <xdr:sp macro="" textlink="">
      <xdr:nvSpPr>
        <xdr:cNvPr id="41000" name="Line 31"/>
        <xdr:cNvSpPr>
          <a:spLocks noChangeShapeType="1"/>
        </xdr:cNvSpPr>
      </xdr:nvSpPr>
      <xdr:spPr bwMode="auto">
        <a:xfrm>
          <a:off x="14163675" y="9048750"/>
          <a:ext cx="0" cy="9525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35</xdr:row>
      <xdr:rowOff>209550</xdr:rowOff>
    </xdr:from>
    <xdr:to>
      <xdr:col>15</xdr:col>
      <xdr:colOff>0</xdr:colOff>
      <xdr:row>35</xdr:row>
      <xdr:rowOff>209550</xdr:rowOff>
    </xdr:to>
    <xdr:sp macro="" textlink="">
      <xdr:nvSpPr>
        <xdr:cNvPr id="41001" name="Line 32"/>
        <xdr:cNvSpPr>
          <a:spLocks noChangeShapeType="1"/>
        </xdr:cNvSpPr>
      </xdr:nvSpPr>
      <xdr:spPr bwMode="auto">
        <a:xfrm>
          <a:off x="1416367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28</xdr:row>
      <xdr:rowOff>200025</xdr:rowOff>
    </xdr:from>
    <xdr:to>
      <xdr:col>15</xdr:col>
      <xdr:colOff>0</xdr:colOff>
      <xdr:row>28</xdr:row>
      <xdr:rowOff>200025</xdr:rowOff>
    </xdr:to>
    <xdr:sp macro="" textlink="">
      <xdr:nvSpPr>
        <xdr:cNvPr id="41002" name="Line 33"/>
        <xdr:cNvSpPr>
          <a:spLocks noChangeShapeType="1"/>
        </xdr:cNvSpPr>
      </xdr:nvSpPr>
      <xdr:spPr bwMode="auto">
        <a:xfrm>
          <a:off x="14163675" y="753427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190500</xdr:rowOff>
    </xdr:from>
    <xdr:to>
      <xdr:col>15</xdr:col>
      <xdr:colOff>0</xdr:colOff>
      <xdr:row>29</xdr:row>
      <xdr:rowOff>190500</xdr:rowOff>
    </xdr:to>
    <xdr:sp macro="" textlink="">
      <xdr:nvSpPr>
        <xdr:cNvPr id="41003" name="Line 34"/>
        <xdr:cNvSpPr>
          <a:spLocks noChangeShapeType="1"/>
        </xdr:cNvSpPr>
      </xdr:nvSpPr>
      <xdr:spPr bwMode="auto">
        <a:xfrm>
          <a:off x="14163675" y="780097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190500</xdr:rowOff>
    </xdr:from>
    <xdr:to>
      <xdr:col>15</xdr:col>
      <xdr:colOff>0</xdr:colOff>
      <xdr:row>29</xdr:row>
      <xdr:rowOff>190500</xdr:rowOff>
    </xdr:to>
    <xdr:sp macro="" textlink="">
      <xdr:nvSpPr>
        <xdr:cNvPr id="41004" name="Line 35"/>
        <xdr:cNvSpPr>
          <a:spLocks noChangeShapeType="1"/>
        </xdr:cNvSpPr>
      </xdr:nvSpPr>
      <xdr:spPr bwMode="auto">
        <a:xfrm>
          <a:off x="14163675" y="780097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32</xdr:row>
      <xdr:rowOff>57150</xdr:rowOff>
    </xdr:from>
    <xdr:to>
      <xdr:col>15</xdr:col>
      <xdr:colOff>0</xdr:colOff>
      <xdr:row>32</xdr:row>
      <xdr:rowOff>238125</xdr:rowOff>
    </xdr:to>
    <xdr:sp macro="" textlink="">
      <xdr:nvSpPr>
        <xdr:cNvPr id="41005" name="Line 36"/>
        <xdr:cNvSpPr>
          <a:spLocks noChangeShapeType="1"/>
        </xdr:cNvSpPr>
      </xdr:nvSpPr>
      <xdr:spPr bwMode="auto">
        <a:xfrm>
          <a:off x="14163675" y="8343900"/>
          <a:ext cx="0" cy="180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1533525</xdr:colOff>
      <xdr:row>12</xdr:row>
      <xdr:rowOff>152400</xdr:rowOff>
    </xdr:from>
    <xdr:to>
      <xdr:col>13</xdr:col>
      <xdr:colOff>952500</xdr:colOff>
      <xdr:row>18</xdr:row>
      <xdr:rowOff>76200</xdr:rowOff>
    </xdr:to>
    <xdr:sp macro="" textlink="">
      <xdr:nvSpPr>
        <xdr:cNvPr id="7205" name="WordArt 37"/>
        <xdr:cNvSpPr>
          <a:spLocks noChangeArrowheads="1" noChangeShapeType="1" noTextEdit="1"/>
        </xdr:cNvSpPr>
      </xdr:nvSpPr>
      <xdr:spPr bwMode="auto">
        <a:xfrm>
          <a:off x="10515600" y="3733800"/>
          <a:ext cx="2314575" cy="12954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204"/>
            </a:avLst>
          </a:prstTxWarp>
        </a:bodyPr>
        <a:lstStyle/>
        <a:p>
          <a:pPr algn="ctr" rtl="0"/>
          <a:r>
            <a:rPr lang="th-TH" sz="72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FFFFFF"/>
              </a:solidFill>
              <a:effectLst/>
              <a:latin typeface="Microsoft Sans Serif"/>
              <a:cs typeface="Microsoft Sans Serif"/>
            </a:rPr>
            <a:t>สำเนา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7</xdr:row>
      <xdr:rowOff>38100</xdr:rowOff>
    </xdr:from>
    <xdr:to>
      <xdr:col>0</xdr:col>
      <xdr:colOff>876300</xdr:colOff>
      <xdr:row>10</xdr:row>
      <xdr:rowOff>95250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161925" y="1514475"/>
          <a:ext cx="714375" cy="6762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endParaRPr lang="th-TH" sz="12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ahoma"/>
              <a:cs typeface="Tahoma"/>
            </a:rPr>
            <a:t>รายได้</a:t>
          </a:r>
        </a:p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ahoma"/>
              <a:cs typeface="Tahoma"/>
            </a:rPr>
            <a:t>INCOME</a:t>
          </a:r>
        </a:p>
      </xdr:txBody>
    </xdr:sp>
    <xdr:clientData/>
  </xdr:twoCellAnchor>
  <xdr:twoCellAnchor>
    <xdr:from>
      <xdr:col>0</xdr:col>
      <xdr:colOff>123825</xdr:colOff>
      <xdr:row>13</xdr:row>
      <xdr:rowOff>28575</xdr:rowOff>
    </xdr:from>
    <xdr:to>
      <xdr:col>0</xdr:col>
      <xdr:colOff>952500</xdr:colOff>
      <xdr:row>16</xdr:row>
      <xdr:rowOff>47625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123825" y="2714625"/>
          <a:ext cx="828675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th-TH" sz="10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ahoma"/>
              <a:cs typeface="Tahoma"/>
            </a:rPr>
            <a:t>รายการหัก</a:t>
          </a:r>
          <a:endParaRPr lang="th-TH" sz="10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cs typeface="Tahoma"/>
            </a:rPr>
            <a:t>DEDUCTION</a:t>
          </a:r>
        </a:p>
      </xdr:txBody>
    </xdr:sp>
    <xdr:clientData/>
  </xdr:twoCellAnchor>
  <xdr:twoCellAnchor>
    <xdr:from>
      <xdr:col>0</xdr:col>
      <xdr:colOff>152400</xdr:colOff>
      <xdr:row>33</xdr:row>
      <xdr:rowOff>171450</xdr:rowOff>
    </xdr:from>
    <xdr:to>
      <xdr:col>0</xdr:col>
      <xdr:colOff>866775</xdr:colOff>
      <xdr:row>37</xdr:row>
      <xdr:rowOff>0</xdr:rowOff>
    </xdr:to>
    <xdr:sp macro="" textlink="">
      <xdr:nvSpPr>
        <xdr:cNvPr id="3395" name="Text Box 323"/>
        <xdr:cNvSpPr txBox="1">
          <a:spLocks noChangeArrowheads="1"/>
        </xdr:cNvSpPr>
      </xdr:nvSpPr>
      <xdr:spPr bwMode="auto">
        <a:xfrm>
          <a:off x="152400" y="6791325"/>
          <a:ext cx="714375" cy="6762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endParaRPr lang="th-TH" sz="12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ahoma"/>
              <a:cs typeface="Tahoma"/>
            </a:rPr>
            <a:t>รายได้</a:t>
          </a:r>
        </a:p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ahoma"/>
              <a:cs typeface="Tahoma"/>
            </a:rPr>
            <a:t>INCOME</a:t>
          </a:r>
        </a:p>
      </xdr:txBody>
    </xdr:sp>
    <xdr:clientData/>
  </xdr:twoCellAnchor>
  <xdr:twoCellAnchor>
    <xdr:from>
      <xdr:col>0</xdr:col>
      <xdr:colOff>123825</xdr:colOff>
      <xdr:row>40</xdr:row>
      <xdr:rowOff>19050</xdr:rowOff>
    </xdr:from>
    <xdr:to>
      <xdr:col>0</xdr:col>
      <xdr:colOff>952500</xdr:colOff>
      <xdr:row>43</xdr:row>
      <xdr:rowOff>38100</xdr:rowOff>
    </xdr:to>
    <xdr:sp macro="" textlink="">
      <xdr:nvSpPr>
        <xdr:cNvPr id="3396" name="Text Box 324"/>
        <xdr:cNvSpPr txBox="1">
          <a:spLocks noChangeArrowheads="1"/>
        </xdr:cNvSpPr>
      </xdr:nvSpPr>
      <xdr:spPr bwMode="auto">
        <a:xfrm>
          <a:off x="123825" y="8077200"/>
          <a:ext cx="828675" cy="63817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th-TH" sz="10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ctr" rtl="0">
            <a:defRPr sz="1000"/>
          </a:pPr>
          <a:r>
            <a:rPr lang="th-TH" sz="1200" b="0" i="0" u="none" strike="noStrike" baseline="0">
              <a:solidFill>
                <a:srgbClr val="000000"/>
              </a:solidFill>
              <a:latin typeface="Tahoma"/>
              <a:cs typeface="Tahoma"/>
            </a:rPr>
            <a:t>รายการหัก</a:t>
          </a:r>
          <a:endParaRPr lang="th-TH" sz="1000" b="0" i="0" u="none" strike="noStrike" baseline="0">
            <a:solidFill>
              <a:srgbClr val="000000"/>
            </a:solidFill>
            <a:latin typeface="Tahoma"/>
            <a:cs typeface="Tahoma"/>
          </a:endParaRPr>
        </a:p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ahoma"/>
              <a:cs typeface="Tahoma"/>
            </a:rPr>
            <a:t>DEDUCTION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76200</xdr:rowOff>
    </xdr:from>
    <xdr:to>
      <xdr:col>0</xdr:col>
      <xdr:colOff>971550</xdr:colOff>
      <xdr:row>4</xdr:row>
      <xdr:rowOff>47625</xdr:rowOff>
    </xdr:to>
    <xdr:pic>
      <xdr:nvPicPr>
        <xdr:cNvPr id="41995" name="Picture 357" descr="KTB_LOG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76200"/>
          <a:ext cx="88582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27</xdr:row>
      <xdr:rowOff>38100</xdr:rowOff>
    </xdr:from>
    <xdr:to>
      <xdr:col>0</xdr:col>
      <xdr:colOff>962025</xdr:colOff>
      <xdr:row>31</xdr:row>
      <xdr:rowOff>9525</xdr:rowOff>
    </xdr:to>
    <xdr:pic>
      <xdr:nvPicPr>
        <xdr:cNvPr id="41996" name="Picture 358" descr="KTB_LOG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410200"/>
          <a:ext cx="88582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18</xdr:row>
      <xdr:rowOff>38100</xdr:rowOff>
    </xdr:from>
    <xdr:to>
      <xdr:col>0</xdr:col>
      <xdr:colOff>504825</xdr:colOff>
      <xdr:row>18</xdr:row>
      <xdr:rowOff>200025</xdr:rowOff>
    </xdr:to>
    <xdr:sp macro="" textlink="">
      <xdr:nvSpPr>
        <xdr:cNvPr id="43013" name="Rectangle 1"/>
        <xdr:cNvSpPr>
          <a:spLocks noChangeArrowheads="1"/>
        </xdr:cNvSpPr>
      </xdr:nvSpPr>
      <xdr:spPr bwMode="auto">
        <a:xfrm>
          <a:off x="314325" y="4895850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314325</xdr:colOff>
      <xdr:row>19</xdr:row>
      <xdr:rowOff>38100</xdr:rowOff>
    </xdr:from>
    <xdr:to>
      <xdr:col>0</xdr:col>
      <xdr:colOff>504825</xdr:colOff>
      <xdr:row>19</xdr:row>
      <xdr:rowOff>200025</xdr:rowOff>
    </xdr:to>
    <xdr:sp macro="" textlink="">
      <xdr:nvSpPr>
        <xdr:cNvPr id="43014" name="Rectangle 2"/>
        <xdr:cNvSpPr>
          <a:spLocks noChangeArrowheads="1"/>
        </xdr:cNvSpPr>
      </xdr:nvSpPr>
      <xdr:spPr bwMode="auto">
        <a:xfrm>
          <a:off x="314325" y="5153025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314325</xdr:colOff>
      <xdr:row>20</xdr:row>
      <xdr:rowOff>38100</xdr:rowOff>
    </xdr:from>
    <xdr:to>
      <xdr:col>0</xdr:col>
      <xdr:colOff>504825</xdr:colOff>
      <xdr:row>20</xdr:row>
      <xdr:rowOff>200025</xdr:rowOff>
    </xdr:to>
    <xdr:sp macro="" textlink="">
      <xdr:nvSpPr>
        <xdr:cNvPr id="43015" name="Rectangle 3"/>
        <xdr:cNvSpPr>
          <a:spLocks noChangeArrowheads="1"/>
        </xdr:cNvSpPr>
      </xdr:nvSpPr>
      <xdr:spPr bwMode="auto">
        <a:xfrm>
          <a:off x="314325" y="5410200"/>
          <a:ext cx="1905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352425</xdr:colOff>
      <xdr:row>18</xdr:row>
      <xdr:rowOff>0</xdr:rowOff>
    </xdr:from>
    <xdr:to>
      <xdr:col>0</xdr:col>
      <xdr:colOff>581025</xdr:colOff>
      <xdr:row>18</xdr:row>
      <xdr:rowOff>142875</xdr:rowOff>
    </xdr:to>
    <xdr:sp macro="" textlink="">
      <xdr:nvSpPr>
        <xdr:cNvPr id="43016" name="Line 4"/>
        <xdr:cNvSpPr>
          <a:spLocks noChangeShapeType="1"/>
        </xdr:cNvSpPr>
      </xdr:nvSpPr>
      <xdr:spPr bwMode="auto">
        <a:xfrm flipV="1">
          <a:off x="352425" y="4857750"/>
          <a:ext cx="22860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7</xdr:row>
      <xdr:rowOff>28575</xdr:rowOff>
    </xdr:from>
    <xdr:to>
      <xdr:col>3</xdr:col>
      <xdr:colOff>0</xdr:colOff>
      <xdr:row>8</xdr:row>
      <xdr:rowOff>9525</xdr:rowOff>
    </xdr:to>
    <xdr:sp macro="" textlink="">
      <xdr:nvSpPr>
        <xdr:cNvPr id="68638" name="Rectangle 18"/>
        <xdr:cNvSpPr>
          <a:spLocks noChangeArrowheads="1"/>
        </xdr:cNvSpPr>
      </xdr:nvSpPr>
      <xdr:spPr bwMode="auto">
        <a:xfrm>
          <a:off x="2790825" y="2152650"/>
          <a:ext cx="828675" cy="2571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28575</xdr:rowOff>
    </xdr:from>
    <xdr:to>
      <xdr:col>1</xdr:col>
      <xdr:colOff>2495550</xdr:colOff>
      <xdr:row>8</xdr:row>
      <xdr:rowOff>0</xdr:rowOff>
    </xdr:to>
    <xdr:sp macro="" textlink="">
      <xdr:nvSpPr>
        <xdr:cNvPr id="68639" name="Rectangle 19"/>
        <xdr:cNvSpPr>
          <a:spLocks noChangeArrowheads="1"/>
        </xdr:cNvSpPr>
      </xdr:nvSpPr>
      <xdr:spPr bwMode="auto">
        <a:xfrm>
          <a:off x="257175" y="2152650"/>
          <a:ext cx="2495550" cy="24765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7</xdr:row>
      <xdr:rowOff>28575</xdr:rowOff>
    </xdr:from>
    <xdr:to>
      <xdr:col>3</xdr:col>
      <xdr:colOff>0</xdr:colOff>
      <xdr:row>8</xdr:row>
      <xdr:rowOff>9525</xdr:rowOff>
    </xdr:to>
    <xdr:sp macro="" textlink="">
      <xdr:nvSpPr>
        <xdr:cNvPr id="68640" name="Rectangle 23"/>
        <xdr:cNvSpPr>
          <a:spLocks noChangeArrowheads="1"/>
        </xdr:cNvSpPr>
      </xdr:nvSpPr>
      <xdr:spPr bwMode="auto">
        <a:xfrm>
          <a:off x="2790825" y="2152650"/>
          <a:ext cx="828675" cy="2571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4" enableFormatConditionsCalculation="0">
    <tabColor indexed="13"/>
  </sheetPr>
  <dimension ref="A1:IK29"/>
  <sheetViews>
    <sheetView showGridLines="0" showRowColHeaders="0" tabSelected="1" workbookViewId="0">
      <pane xSplit="13" ySplit="15" topLeftCell="N16" activePane="bottomRight" state="frozen"/>
      <selection pane="topRight" activeCell="N1" sqref="N1"/>
      <selection pane="bottomLeft" activeCell="A16" sqref="A16"/>
      <selection pane="bottomRight" activeCell="I20" sqref="I20"/>
    </sheetView>
  </sheetViews>
  <sheetFormatPr defaultRowHeight="21.75"/>
  <cols>
    <col min="2" max="2" width="14" customWidth="1"/>
    <col min="3" max="3" width="13.140625" bestFit="1" customWidth="1"/>
    <col min="4" max="4" width="9.7109375" customWidth="1"/>
    <col min="5" max="5" width="9.5703125" customWidth="1"/>
    <col min="6" max="6" width="9.28515625" bestFit="1" customWidth="1"/>
    <col min="7" max="7" width="10.5703125" bestFit="1" customWidth="1"/>
    <col min="8" max="8" width="10.140625" bestFit="1" customWidth="1"/>
    <col min="9" max="9" width="12.5703125" customWidth="1"/>
    <col min="10" max="10" width="11" bestFit="1" customWidth="1"/>
    <col min="11" max="11" width="10.140625" bestFit="1" customWidth="1"/>
    <col min="12" max="12" width="11.42578125" customWidth="1"/>
    <col min="13" max="13" width="7.85546875" customWidth="1"/>
    <col min="14" max="14" width="10.140625" bestFit="1" customWidth="1"/>
    <col min="20" max="20" width="10.28515625" customWidth="1"/>
    <col min="24" max="24" width="10.140625" customWidth="1"/>
    <col min="26" max="26" width="10.5703125" bestFit="1" customWidth="1"/>
    <col min="27" max="27" width="11.5703125" customWidth="1"/>
  </cols>
  <sheetData>
    <row r="1" spans="1:245" ht="31.5">
      <c r="A1" s="370"/>
      <c r="B1" s="371"/>
      <c r="C1" s="386" t="str">
        <f>CompanyProfile!C2</f>
        <v>หจก.ศิวะกรเซฟตี้ จำกัด</v>
      </c>
      <c r="D1" s="376"/>
      <c r="E1" s="376"/>
      <c r="F1" s="377"/>
      <c r="G1" s="378"/>
      <c r="H1" s="379"/>
      <c r="I1" s="380"/>
      <c r="J1" s="185"/>
      <c r="K1" s="182"/>
      <c r="L1" s="182"/>
      <c r="M1" s="186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192" t="s">
        <v>196</v>
      </c>
      <c r="AA1" s="192" t="s">
        <v>313</v>
      </c>
      <c r="AB1" s="178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  <c r="BP1" s="77"/>
      <c r="BQ1" s="77"/>
      <c r="BR1" s="77"/>
      <c r="BS1" s="77"/>
      <c r="BT1" s="77"/>
      <c r="BU1" s="77"/>
      <c r="BV1" s="77"/>
      <c r="BW1" s="77"/>
      <c r="BX1" s="77"/>
      <c r="BY1" s="77"/>
      <c r="BZ1" s="77"/>
      <c r="CA1" s="77"/>
      <c r="CB1" s="77"/>
      <c r="CC1" s="77"/>
      <c r="CD1" s="77"/>
      <c r="CE1" s="77"/>
      <c r="CF1" s="77"/>
      <c r="CG1" s="77"/>
      <c r="CH1" s="77"/>
      <c r="CI1" s="77"/>
      <c r="CJ1" s="77"/>
      <c r="CK1" s="77"/>
      <c r="CL1" s="77"/>
      <c r="CM1" s="77"/>
      <c r="CN1" s="77"/>
      <c r="CO1" s="77"/>
      <c r="CP1" s="77"/>
      <c r="CQ1" s="77"/>
      <c r="CR1" s="77"/>
      <c r="CS1" s="77"/>
      <c r="CT1" s="77"/>
      <c r="CU1" s="77"/>
      <c r="CV1" s="77"/>
      <c r="CW1" s="77"/>
      <c r="CX1" s="77"/>
      <c r="CY1" s="77"/>
      <c r="CZ1" s="77"/>
      <c r="DA1" s="77"/>
      <c r="DB1" s="77"/>
      <c r="DC1" s="77"/>
      <c r="DD1" s="77"/>
      <c r="DE1" s="77"/>
      <c r="DF1" s="77"/>
      <c r="DG1" s="77"/>
      <c r="DH1" s="77"/>
      <c r="DI1" s="77"/>
      <c r="DJ1" s="77"/>
      <c r="DK1" s="77"/>
      <c r="DL1" s="77"/>
      <c r="DM1" s="77"/>
      <c r="DN1" s="77"/>
      <c r="DO1" s="77"/>
      <c r="DP1" s="77"/>
      <c r="DQ1" s="77"/>
      <c r="DR1" s="77"/>
      <c r="DS1" s="77"/>
      <c r="DT1" s="77"/>
      <c r="DU1" s="77"/>
      <c r="DV1" s="77"/>
      <c r="DW1" s="77"/>
      <c r="DX1" s="77"/>
      <c r="DY1" s="77"/>
      <c r="DZ1" s="77"/>
      <c r="EA1" s="77"/>
      <c r="EB1" s="77"/>
      <c r="EC1" s="77"/>
      <c r="ED1" s="77"/>
      <c r="EE1" s="77"/>
      <c r="EF1" s="77"/>
      <c r="EG1" s="77"/>
      <c r="EH1" s="77"/>
      <c r="EI1" s="77"/>
      <c r="EJ1" s="77"/>
      <c r="EK1" s="77"/>
      <c r="EL1" s="77"/>
      <c r="EM1" s="77"/>
      <c r="EN1" s="77"/>
      <c r="EO1" s="77"/>
      <c r="EP1" s="77"/>
      <c r="EQ1" s="77"/>
      <c r="ER1" s="77"/>
      <c r="ES1" s="77"/>
      <c r="ET1" s="77"/>
      <c r="EU1" s="77"/>
      <c r="EV1" s="77"/>
      <c r="EW1" s="77"/>
      <c r="EX1" s="77"/>
      <c r="EY1" s="77"/>
      <c r="EZ1" s="77"/>
      <c r="FA1" s="77"/>
      <c r="FB1" s="77"/>
      <c r="FC1" s="77"/>
      <c r="FD1" s="77"/>
      <c r="FE1" s="77"/>
      <c r="FF1" s="77"/>
      <c r="FG1" s="77"/>
      <c r="FH1" s="77"/>
      <c r="FI1" s="77"/>
      <c r="FJ1" s="77"/>
      <c r="FK1" s="77"/>
      <c r="FL1" s="77"/>
      <c r="FM1" s="77"/>
      <c r="FN1" s="77"/>
      <c r="FO1" s="77"/>
      <c r="FP1" s="77"/>
      <c r="FQ1" s="77"/>
      <c r="FR1" s="77"/>
      <c r="FS1" s="77"/>
      <c r="FT1" s="77"/>
      <c r="FU1" s="77"/>
      <c r="FV1" s="77"/>
      <c r="FW1" s="77"/>
      <c r="FX1" s="77"/>
      <c r="FY1" s="77"/>
      <c r="FZ1" s="77"/>
      <c r="GA1" s="77"/>
      <c r="GB1" s="77"/>
      <c r="GC1" s="77"/>
      <c r="GD1" s="77"/>
      <c r="GE1" s="77"/>
      <c r="GF1" s="77"/>
      <c r="GG1" s="77"/>
      <c r="GH1" s="77"/>
      <c r="GI1" s="77"/>
      <c r="GJ1" s="77"/>
      <c r="GK1" s="77"/>
      <c r="GL1" s="77"/>
      <c r="GM1" s="77"/>
      <c r="GN1" s="77"/>
      <c r="GO1" s="77"/>
      <c r="GP1" s="77"/>
      <c r="GQ1" s="77"/>
      <c r="GR1" s="77"/>
      <c r="GS1" s="77"/>
      <c r="GT1" s="77"/>
      <c r="GU1" s="77"/>
      <c r="GV1" s="77"/>
      <c r="GW1" s="77"/>
      <c r="GX1" s="77"/>
      <c r="GY1" s="77"/>
      <c r="GZ1" s="77"/>
      <c r="HA1" s="77"/>
      <c r="HB1" s="77"/>
      <c r="HC1" s="77"/>
      <c r="HD1" s="77"/>
      <c r="HE1" s="77"/>
      <c r="HF1" s="77"/>
      <c r="HG1" s="77"/>
      <c r="HH1" s="77"/>
      <c r="HI1" s="77"/>
      <c r="HJ1" s="77"/>
      <c r="HK1" s="77"/>
      <c r="HL1" s="77"/>
      <c r="HM1" s="77"/>
      <c r="HN1" s="77"/>
      <c r="HO1" s="77"/>
      <c r="HP1" s="77"/>
      <c r="HQ1" s="77"/>
      <c r="HR1" s="77"/>
      <c r="HS1" s="77"/>
      <c r="HT1" s="77"/>
      <c r="HU1" s="77"/>
      <c r="HV1" s="77"/>
      <c r="HW1" s="77"/>
      <c r="HX1" s="77"/>
      <c r="HY1" s="77"/>
      <c r="HZ1" s="77"/>
      <c r="IA1" s="77"/>
      <c r="IB1" s="77"/>
      <c r="IC1" s="77"/>
      <c r="ID1" s="77"/>
      <c r="IE1" s="77"/>
      <c r="IF1" s="77"/>
      <c r="IG1" s="77"/>
      <c r="IH1" s="77"/>
      <c r="II1" s="77"/>
      <c r="IJ1" s="77"/>
      <c r="IK1" s="77"/>
    </row>
    <row r="2" spans="1:245">
      <c r="A2" s="368"/>
      <c r="B2" s="372"/>
      <c r="C2" s="115"/>
      <c r="D2" s="117"/>
      <c r="E2" s="117"/>
      <c r="F2" s="118"/>
      <c r="G2" s="188"/>
      <c r="H2" s="180"/>
      <c r="I2" s="181"/>
      <c r="J2" s="187"/>
      <c r="K2" s="183"/>
      <c r="L2" s="183"/>
      <c r="M2" s="184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179">
        <v>1</v>
      </c>
      <c r="AA2" s="179">
        <v>1</v>
      </c>
      <c r="AB2" s="179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7"/>
      <c r="BN2" s="77"/>
      <c r="BO2" s="77"/>
      <c r="BP2" s="77"/>
      <c r="BQ2" s="77"/>
      <c r="BR2" s="77"/>
      <c r="BS2" s="77"/>
      <c r="BT2" s="77"/>
      <c r="BU2" s="77"/>
      <c r="BV2" s="77"/>
      <c r="BW2" s="77"/>
      <c r="BX2" s="77"/>
      <c r="BY2" s="77"/>
      <c r="BZ2" s="77"/>
      <c r="CA2" s="77"/>
      <c r="CB2" s="77"/>
      <c r="CC2" s="77"/>
      <c r="CD2" s="77"/>
      <c r="CE2" s="77"/>
      <c r="CF2" s="77"/>
      <c r="CG2" s="77"/>
      <c r="CH2" s="77"/>
      <c r="CI2" s="77"/>
      <c r="CJ2" s="77"/>
      <c r="CK2" s="77"/>
      <c r="CL2" s="77"/>
      <c r="CM2" s="77"/>
      <c r="CN2" s="77"/>
      <c r="CO2" s="77"/>
      <c r="CP2" s="77"/>
      <c r="CQ2" s="77"/>
      <c r="CR2" s="77"/>
      <c r="CS2" s="77"/>
      <c r="CT2" s="77"/>
      <c r="CU2" s="77"/>
      <c r="CV2" s="77"/>
      <c r="CW2" s="77"/>
      <c r="CX2" s="77"/>
      <c r="CY2" s="77"/>
      <c r="CZ2" s="77"/>
      <c r="DA2" s="77"/>
      <c r="DB2" s="77"/>
      <c r="DC2" s="77"/>
      <c r="DD2" s="77"/>
      <c r="DE2" s="77"/>
      <c r="DF2" s="77"/>
      <c r="DG2" s="77"/>
      <c r="DH2" s="77"/>
      <c r="DI2" s="77"/>
      <c r="DJ2" s="77"/>
      <c r="DK2" s="77"/>
      <c r="DL2" s="77"/>
      <c r="DM2" s="77"/>
      <c r="DN2" s="77"/>
      <c r="DO2" s="77"/>
      <c r="DP2" s="77"/>
      <c r="DQ2" s="77"/>
      <c r="DR2" s="77"/>
      <c r="DS2" s="77"/>
      <c r="DT2" s="77"/>
      <c r="DU2" s="77"/>
      <c r="DV2" s="77"/>
      <c r="DW2" s="77"/>
      <c r="DX2" s="77"/>
      <c r="DY2" s="77"/>
      <c r="DZ2" s="77"/>
      <c r="EA2" s="77"/>
      <c r="EB2" s="77"/>
      <c r="EC2" s="77"/>
      <c r="ED2" s="77"/>
      <c r="EE2" s="77"/>
      <c r="EF2" s="77"/>
      <c r="EG2" s="77"/>
      <c r="EH2" s="77"/>
      <c r="EI2" s="77"/>
      <c r="EJ2" s="77"/>
      <c r="EK2" s="77"/>
      <c r="EL2" s="77"/>
      <c r="EM2" s="77"/>
      <c r="EN2" s="77"/>
      <c r="EO2" s="77"/>
      <c r="EP2" s="77"/>
      <c r="EQ2" s="77"/>
      <c r="ER2" s="77"/>
      <c r="ES2" s="77"/>
      <c r="ET2" s="77"/>
      <c r="EU2" s="77"/>
      <c r="EV2" s="77"/>
      <c r="EW2" s="77"/>
      <c r="EX2" s="77"/>
      <c r="EY2" s="77"/>
      <c r="EZ2" s="77"/>
      <c r="FA2" s="77"/>
      <c r="FB2" s="77"/>
      <c r="FC2" s="77"/>
      <c r="FD2" s="77"/>
      <c r="FE2" s="77"/>
      <c r="FF2" s="77"/>
      <c r="FG2" s="77"/>
      <c r="FH2" s="77"/>
      <c r="FI2" s="77"/>
      <c r="FJ2" s="77"/>
      <c r="FK2" s="77"/>
      <c r="FL2" s="77"/>
      <c r="FM2" s="77"/>
      <c r="FN2" s="77"/>
      <c r="FO2" s="77"/>
      <c r="FP2" s="77"/>
      <c r="FQ2" s="77"/>
      <c r="FR2" s="77"/>
      <c r="FS2" s="77"/>
      <c r="FT2" s="77"/>
      <c r="FU2" s="77"/>
      <c r="FV2" s="77"/>
      <c r="FW2" s="77"/>
      <c r="FX2" s="77"/>
      <c r="FY2" s="77"/>
      <c r="FZ2" s="77"/>
      <c r="GA2" s="77"/>
      <c r="GB2" s="77"/>
      <c r="GC2" s="77"/>
      <c r="GD2" s="77"/>
      <c r="GE2" s="77"/>
      <c r="GF2" s="77"/>
      <c r="GG2" s="77"/>
      <c r="GH2" s="77"/>
      <c r="GI2" s="77"/>
      <c r="GJ2" s="77"/>
      <c r="GK2" s="77"/>
      <c r="GL2" s="77"/>
      <c r="GM2" s="77"/>
      <c r="GN2" s="77"/>
      <c r="GO2" s="77"/>
      <c r="GP2" s="77"/>
      <c r="GQ2" s="77"/>
      <c r="GR2" s="77"/>
      <c r="GS2" s="77"/>
      <c r="GT2" s="77"/>
      <c r="GU2" s="77"/>
      <c r="GV2" s="77"/>
      <c r="GW2" s="77"/>
      <c r="GX2" s="77"/>
      <c r="GY2" s="77"/>
      <c r="GZ2" s="77"/>
      <c r="HA2" s="77"/>
      <c r="HB2" s="77"/>
      <c r="HC2" s="77"/>
      <c r="HD2" s="77"/>
      <c r="HE2" s="77"/>
      <c r="HF2" s="77"/>
      <c r="HG2" s="77"/>
      <c r="HH2" s="77"/>
      <c r="HI2" s="77"/>
      <c r="HJ2" s="77"/>
      <c r="HK2" s="77"/>
      <c r="HL2" s="77"/>
      <c r="HM2" s="77"/>
      <c r="HN2" s="77"/>
      <c r="HO2" s="77"/>
      <c r="HP2" s="77"/>
      <c r="HQ2" s="77"/>
      <c r="HR2" s="77"/>
      <c r="HS2" s="77"/>
      <c r="HT2" s="77"/>
      <c r="HU2" s="77"/>
      <c r="HV2" s="77"/>
      <c r="HW2" s="77"/>
      <c r="HX2" s="77"/>
      <c r="HY2" s="77"/>
      <c r="HZ2" s="77"/>
      <c r="IA2" s="77"/>
      <c r="IB2" s="77"/>
      <c r="IC2" s="77"/>
      <c r="ID2" s="77"/>
      <c r="IE2" s="77"/>
      <c r="IF2" s="77"/>
      <c r="IG2" s="77"/>
      <c r="IH2" s="77"/>
      <c r="II2" s="77"/>
      <c r="IJ2" s="77"/>
      <c r="IK2" s="77"/>
    </row>
    <row r="3" spans="1:245">
      <c r="A3" s="368"/>
      <c r="B3" s="373"/>
      <c r="C3" s="115"/>
      <c r="D3" s="117" t="s">
        <v>164</v>
      </c>
      <c r="E3" s="116"/>
      <c r="F3" s="119"/>
      <c r="G3" s="364"/>
      <c r="H3" s="365" t="s">
        <v>164</v>
      </c>
      <c r="I3" s="366"/>
      <c r="J3" s="187"/>
      <c r="K3" s="183"/>
      <c r="L3" s="183"/>
      <c r="M3" s="184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179">
        <v>2</v>
      </c>
      <c r="AA3" s="179">
        <v>1</v>
      </c>
      <c r="AB3" s="179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  <c r="BM3" s="77"/>
      <c r="BN3" s="77"/>
      <c r="BO3" s="77"/>
      <c r="BP3" s="77"/>
      <c r="BQ3" s="77"/>
      <c r="BR3" s="77"/>
      <c r="BS3" s="77"/>
      <c r="BT3" s="77"/>
      <c r="BU3" s="77"/>
      <c r="BV3" s="77"/>
      <c r="BW3" s="77"/>
      <c r="BX3" s="77"/>
      <c r="BY3" s="77"/>
      <c r="BZ3" s="77"/>
      <c r="CA3" s="77"/>
      <c r="CB3" s="77"/>
      <c r="CC3" s="77"/>
      <c r="CD3" s="77"/>
      <c r="CE3" s="77"/>
      <c r="CF3" s="77"/>
      <c r="CG3" s="77"/>
      <c r="CH3" s="77"/>
      <c r="CI3" s="77"/>
      <c r="CJ3" s="77"/>
      <c r="CK3" s="77"/>
      <c r="CL3" s="77"/>
      <c r="CM3" s="77"/>
      <c r="CN3" s="77"/>
      <c r="CO3" s="77"/>
      <c r="CP3" s="77"/>
      <c r="CQ3" s="77"/>
      <c r="CR3" s="77"/>
      <c r="CS3" s="77"/>
      <c r="CT3" s="77"/>
      <c r="CU3" s="77"/>
      <c r="CV3" s="77"/>
      <c r="CW3" s="77"/>
      <c r="CX3" s="77"/>
      <c r="CY3" s="77"/>
      <c r="CZ3" s="77"/>
      <c r="DA3" s="77"/>
      <c r="DB3" s="77"/>
      <c r="DC3" s="77"/>
      <c r="DD3" s="77"/>
      <c r="DE3" s="77"/>
      <c r="DF3" s="77"/>
      <c r="DG3" s="77"/>
      <c r="DH3" s="77"/>
      <c r="DI3" s="77"/>
      <c r="DJ3" s="77"/>
      <c r="DK3" s="77"/>
      <c r="DL3" s="77"/>
      <c r="DM3" s="77"/>
      <c r="DN3" s="77"/>
      <c r="DO3" s="77"/>
      <c r="DP3" s="77"/>
      <c r="DQ3" s="77"/>
      <c r="DR3" s="77"/>
      <c r="DS3" s="77"/>
      <c r="DT3" s="77"/>
      <c r="DU3" s="77"/>
      <c r="DV3" s="77"/>
      <c r="DW3" s="77"/>
      <c r="DX3" s="77"/>
      <c r="DY3" s="77"/>
      <c r="DZ3" s="77"/>
      <c r="EA3" s="77"/>
      <c r="EB3" s="77"/>
      <c r="EC3" s="77"/>
      <c r="ED3" s="77"/>
      <c r="EE3" s="77"/>
      <c r="EF3" s="77"/>
      <c r="EG3" s="77"/>
      <c r="EH3" s="77"/>
      <c r="EI3" s="77"/>
      <c r="EJ3" s="77"/>
      <c r="EK3" s="77"/>
      <c r="EL3" s="77"/>
      <c r="EM3" s="77"/>
      <c r="EN3" s="77"/>
      <c r="EO3" s="77"/>
      <c r="EP3" s="77"/>
      <c r="EQ3" s="77"/>
      <c r="ER3" s="77"/>
      <c r="ES3" s="77"/>
      <c r="ET3" s="77"/>
      <c r="EU3" s="77"/>
      <c r="EV3" s="77"/>
      <c r="EW3" s="77"/>
      <c r="EX3" s="77"/>
      <c r="EY3" s="77"/>
      <c r="EZ3" s="77"/>
      <c r="FA3" s="77"/>
      <c r="FB3" s="77"/>
      <c r="FC3" s="77"/>
      <c r="FD3" s="77"/>
      <c r="FE3" s="77"/>
      <c r="FF3" s="77"/>
      <c r="FG3" s="77"/>
      <c r="FH3" s="77"/>
      <c r="FI3" s="77"/>
      <c r="FJ3" s="77"/>
      <c r="FK3" s="77"/>
      <c r="FL3" s="77"/>
      <c r="FM3" s="77"/>
      <c r="FN3" s="77"/>
      <c r="FO3" s="77"/>
      <c r="FP3" s="77"/>
      <c r="FQ3" s="77"/>
      <c r="FR3" s="77"/>
      <c r="FS3" s="77"/>
      <c r="FT3" s="77"/>
      <c r="FU3" s="77"/>
      <c r="FV3" s="77"/>
      <c r="FW3" s="77"/>
      <c r="FX3" s="77"/>
      <c r="FY3" s="77"/>
      <c r="FZ3" s="77"/>
      <c r="GA3" s="77"/>
      <c r="GB3" s="77"/>
      <c r="GC3" s="77"/>
      <c r="GD3" s="77"/>
      <c r="GE3" s="77"/>
      <c r="GF3" s="77"/>
      <c r="GG3" s="77"/>
      <c r="GH3" s="77"/>
      <c r="GI3" s="77"/>
      <c r="GJ3" s="77"/>
      <c r="GK3" s="77"/>
      <c r="GL3" s="77"/>
      <c r="GM3" s="77"/>
      <c r="GN3" s="77"/>
      <c r="GO3" s="77"/>
      <c r="GP3" s="77"/>
      <c r="GQ3" s="77"/>
      <c r="GR3" s="77"/>
      <c r="GS3" s="77"/>
      <c r="GT3" s="77"/>
      <c r="GU3" s="77"/>
      <c r="GV3" s="77"/>
      <c r="GW3" s="77"/>
      <c r="GX3" s="77"/>
      <c r="GY3" s="77"/>
      <c r="GZ3" s="77"/>
      <c r="HA3" s="77"/>
      <c r="HB3" s="77"/>
      <c r="HC3" s="77"/>
      <c r="HD3" s="77"/>
      <c r="HE3" s="77"/>
      <c r="HF3" s="77"/>
      <c r="HG3" s="77"/>
      <c r="HH3" s="77"/>
      <c r="HI3" s="77"/>
      <c r="HJ3" s="77"/>
      <c r="HK3" s="77"/>
      <c r="HL3" s="77"/>
      <c r="HM3" s="77"/>
      <c r="HN3" s="77"/>
      <c r="HO3" s="77"/>
      <c r="HP3" s="77"/>
      <c r="HQ3" s="77"/>
      <c r="HR3" s="77"/>
      <c r="HS3" s="77"/>
      <c r="HT3" s="77"/>
      <c r="HU3" s="77"/>
      <c r="HV3" s="77"/>
      <c r="HW3" s="77"/>
      <c r="HX3" s="77"/>
      <c r="HY3" s="77"/>
      <c r="HZ3" s="77"/>
      <c r="IA3" s="77"/>
      <c r="IB3" s="77"/>
      <c r="IC3" s="77"/>
      <c r="ID3" s="77"/>
      <c r="IE3" s="77"/>
      <c r="IF3" s="77"/>
      <c r="IG3" s="77"/>
      <c r="IH3" s="77"/>
      <c r="II3" s="77"/>
      <c r="IJ3" s="77"/>
      <c r="IK3" s="77"/>
    </row>
    <row r="4" spans="1:245" ht="30" customHeight="1">
      <c r="A4" s="368"/>
      <c r="B4" s="372"/>
      <c r="C4" s="115"/>
      <c r="D4" s="117"/>
      <c r="E4" s="117"/>
      <c r="F4" s="119"/>
      <c r="G4" s="188"/>
      <c r="H4" s="180"/>
      <c r="I4" s="181"/>
      <c r="J4" s="187"/>
      <c r="K4" s="183"/>
      <c r="L4" s="183"/>
      <c r="M4" s="184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179"/>
      <c r="AB4" s="179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7"/>
      <c r="BU4" s="77"/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7"/>
      <c r="CL4" s="77"/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7"/>
      <c r="DC4" s="77"/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7"/>
      <c r="DT4" s="77"/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7"/>
      <c r="EK4" s="77"/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7"/>
      <c r="FB4" s="77"/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7"/>
      <c r="FS4" s="77"/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7"/>
      <c r="GJ4" s="77"/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7"/>
      <c r="HA4" s="77"/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7"/>
      <c r="HR4" s="77"/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  <c r="IH4" s="77"/>
      <c r="II4" s="77"/>
      <c r="IJ4" s="77"/>
      <c r="IK4" s="77"/>
    </row>
    <row r="5" spans="1:245">
      <c r="A5" s="368"/>
      <c r="B5" s="373"/>
      <c r="C5" s="115"/>
      <c r="D5" s="117" t="s">
        <v>165</v>
      </c>
      <c r="E5" s="116"/>
      <c r="F5" s="119"/>
      <c r="G5" s="364"/>
      <c r="H5" s="365" t="s">
        <v>165</v>
      </c>
      <c r="I5" s="367"/>
      <c r="J5" s="187"/>
      <c r="K5" s="183"/>
      <c r="L5" s="183"/>
      <c r="M5" s="184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179"/>
      <c r="AB5" s="179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7"/>
      <c r="CG5" s="77"/>
      <c r="CH5" s="77"/>
      <c r="CI5" s="77"/>
      <c r="CJ5" s="77"/>
      <c r="CK5" s="77"/>
      <c r="CL5" s="77"/>
      <c r="CM5" s="77"/>
      <c r="CN5" s="77"/>
      <c r="CO5" s="77"/>
      <c r="CP5" s="77"/>
      <c r="CQ5" s="77"/>
      <c r="CR5" s="77"/>
      <c r="CS5" s="77"/>
      <c r="CT5" s="77"/>
      <c r="CU5" s="77"/>
      <c r="CV5" s="77"/>
      <c r="CW5" s="77"/>
      <c r="CX5" s="77"/>
      <c r="CY5" s="77"/>
      <c r="CZ5" s="77"/>
      <c r="DA5" s="77"/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/>
      <c r="DN5" s="77"/>
      <c r="DO5" s="77"/>
      <c r="DP5" s="77"/>
      <c r="DQ5" s="77"/>
      <c r="DR5" s="77"/>
      <c r="DS5" s="77"/>
      <c r="DT5" s="77"/>
      <c r="DU5" s="77"/>
      <c r="DV5" s="77"/>
      <c r="DW5" s="77"/>
      <c r="DX5" s="77"/>
      <c r="DY5" s="77"/>
      <c r="DZ5" s="77"/>
      <c r="EA5" s="77"/>
      <c r="EB5" s="77"/>
      <c r="EC5" s="77"/>
      <c r="ED5" s="77"/>
      <c r="EE5" s="77"/>
      <c r="EF5" s="77"/>
      <c r="EG5" s="77"/>
      <c r="EH5" s="77"/>
      <c r="EI5" s="77"/>
      <c r="EJ5" s="77"/>
      <c r="EK5" s="77"/>
      <c r="EL5" s="77"/>
      <c r="EM5" s="77"/>
      <c r="EN5" s="77"/>
      <c r="EO5" s="77"/>
      <c r="EP5" s="77"/>
      <c r="EQ5" s="77"/>
      <c r="ER5" s="77"/>
      <c r="ES5" s="77"/>
      <c r="ET5" s="77"/>
      <c r="EU5" s="77"/>
      <c r="EV5" s="77"/>
      <c r="EW5" s="77"/>
      <c r="EX5" s="77"/>
      <c r="EY5" s="77"/>
      <c r="EZ5" s="77"/>
      <c r="FA5" s="77"/>
      <c r="FB5" s="77"/>
      <c r="FC5" s="77"/>
      <c r="FD5" s="77"/>
      <c r="FE5" s="77"/>
      <c r="FF5" s="77"/>
      <c r="FG5" s="77"/>
      <c r="FH5" s="77"/>
      <c r="FI5" s="77"/>
      <c r="FJ5" s="77"/>
      <c r="FK5" s="77"/>
      <c r="FL5" s="77"/>
      <c r="FM5" s="77"/>
      <c r="FN5" s="77"/>
      <c r="FO5" s="77"/>
      <c r="FP5" s="77"/>
      <c r="FQ5" s="77"/>
      <c r="FR5" s="77"/>
      <c r="FS5" s="77"/>
      <c r="FT5" s="77"/>
      <c r="FU5" s="77"/>
      <c r="FV5" s="77"/>
      <c r="FW5" s="77"/>
      <c r="FX5" s="77"/>
      <c r="FY5" s="77"/>
      <c r="FZ5" s="77"/>
      <c r="GA5" s="77"/>
      <c r="GB5" s="77"/>
      <c r="GC5" s="77"/>
      <c r="GD5" s="77"/>
      <c r="GE5" s="77"/>
      <c r="GF5" s="77"/>
      <c r="GG5" s="77"/>
      <c r="GH5" s="77"/>
      <c r="GI5" s="77"/>
      <c r="GJ5" s="77"/>
      <c r="GK5" s="77"/>
      <c r="GL5" s="77"/>
      <c r="GM5" s="77"/>
      <c r="GN5" s="77"/>
      <c r="GO5" s="77"/>
      <c r="GP5" s="77"/>
      <c r="GQ5" s="77"/>
      <c r="GR5" s="77"/>
      <c r="GS5" s="77"/>
      <c r="GT5" s="77"/>
      <c r="GU5" s="77"/>
      <c r="GV5" s="77"/>
      <c r="GW5" s="77"/>
      <c r="GX5" s="77"/>
      <c r="GY5" s="77"/>
      <c r="GZ5" s="77"/>
      <c r="HA5" s="77"/>
      <c r="HB5" s="77"/>
      <c r="HC5" s="77"/>
      <c r="HD5" s="77"/>
      <c r="HE5" s="77"/>
      <c r="HF5" s="77"/>
      <c r="HG5" s="77"/>
      <c r="HH5" s="77"/>
      <c r="HI5" s="77"/>
      <c r="HJ5" s="77"/>
      <c r="HK5" s="77"/>
      <c r="HL5" s="77"/>
      <c r="HM5" s="77"/>
      <c r="HN5" s="77"/>
      <c r="HO5" s="77"/>
      <c r="HP5" s="77"/>
      <c r="HQ5" s="77"/>
      <c r="HR5" s="77"/>
      <c r="HS5" s="77"/>
      <c r="HT5" s="77"/>
      <c r="HU5" s="77"/>
      <c r="HV5" s="77"/>
      <c r="HW5" s="77"/>
      <c r="HX5" s="77"/>
      <c r="HY5" s="77"/>
      <c r="HZ5" s="77"/>
      <c r="IA5" s="77"/>
      <c r="IB5" s="77"/>
      <c r="IC5" s="77"/>
      <c r="ID5" s="77"/>
      <c r="IE5" s="77"/>
      <c r="IF5" s="77"/>
      <c r="IG5" s="77"/>
      <c r="IH5" s="77"/>
      <c r="II5" s="77"/>
      <c r="IJ5" s="77"/>
      <c r="IK5" s="77"/>
    </row>
    <row r="6" spans="1:245" ht="30">
      <c r="A6" s="368"/>
      <c r="B6" s="374"/>
      <c r="C6" s="115"/>
      <c r="D6" s="116"/>
      <c r="E6" s="116"/>
      <c r="F6" s="119"/>
      <c r="G6" s="364"/>
      <c r="H6" s="365"/>
      <c r="I6" s="366"/>
      <c r="J6" s="187"/>
      <c r="K6" s="183"/>
      <c r="L6" s="183"/>
      <c r="M6" s="184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179"/>
      <c r="AB6" s="179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  <c r="BW6" s="77"/>
      <c r="BX6" s="77"/>
      <c r="BY6" s="77"/>
      <c r="BZ6" s="77"/>
      <c r="CA6" s="77"/>
      <c r="CB6" s="77"/>
      <c r="CC6" s="77"/>
      <c r="CD6" s="77"/>
      <c r="CE6" s="77"/>
      <c r="CF6" s="77"/>
      <c r="CG6" s="77"/>
      <c r="CH6" s="77"/>
      <c r="CI6" s="77"/>
      <c r="CJ6" s="77"/>
      <c r="CK6" s="77"/>
      <c r="CL6" s="77"/>
      <c r="CM6" s="77"/>
      <c r="CN6" s="77"/>
      <c r="CO6" s="77"/>
      <c r="CP6" s="77"/>
      <c r="CQ6" s="77"/>
      <c r="CR6" s="77"/>
      <c r="CS6" s="77"/>
      <c r="CT6" s="77"/>
      <c r="CU6" s="77"/>
      <c r="CV6" s="77"/>
      <c r="CW6" s="77"/>
      <c r="CX6" s="77"/>
      <c r="CY6" s="77"/>
      <c r="CZ6" s="77"/>
      <c r="DA6" s="77"/>
      <c r="DB6" s="77"/>
      <c r="DC6" s="77"/>
      <c r="DD6" s="77"/>
      <c r="DE6" s="77"/>
      <c r="DF6" s="77"/>
      <c r="DG6" s="77"/>
      <c r="DH6" s="77"/>
      <c r="DI6" s="77"/>
      <c r="DJ6" s="77"/>
      <c r="DK6" s="77"/>
      <c r="DL6" s="77"/>
      <c r="DM6" s="77"/>
      <c r="DN6" s="77"/>
      <c r="DO6" s="77"/>
      <c r="DP6" s="77"/>
      <c r="DQ6" s="77"/>
      <c r="DR6" s="77"/>
      <c r="DS6" s="77"/>
      <c r="DT6" s="77"/>
      <c r="DU6" s="77"/>
      <c r="DV6" s="77"/>
      <c r="DW6" s="77"/>
      <c r="DX6" s="77"/>
      <c r="DY6" s="77"/>
      <c r="DZ6" s="77"/>
      <c r="EA6" s="77"/>
      <c r="EB6" s="77"/>
      <c r="EC6" s="77"/>
      <c r="ED6" s="77"/>
      <c r="EE6" s="77"/>
      <c r="EF6" s="77"/>
      <c r="EG6" s="77"/>
      <c r="EH6" s="77"/>
      <c r="EI6" s="77"/>
      <c r="EJ6" s="77"/>
      <c r="EK6" s="77"/>
      <c r="EL6" s="77"/>
      <c r="EM6" s="77"/>
      <c r="EN6" s="77"/>
      <c r="EO6" s="77"/>
      <c r="EP6" s="77"/>
      <c r="EQ6" s="77"/>
      <c r="ER6" s="77"/>
      <c r="ES6" s="77"/>
      <c r="ET6" s="77"/>
      <c r="EU6" s="77"/>
      <c r="EV6" s="77"/>
      <c r="EW6" s="77"/>
      <c r="EX6" s="77"/>
      <c r="EY6" s="77"/>
      <c r="EZ6" s="77"/>
      <c r="FA6" s="77"/>
      <c r="FB6" s="77"/>
      <c r="FC6" s="77"/>
      <c r="FD6" s="77"/>
      <c r="FE6" s="77"/>
      <c r="FF6" s="77"/>
      <c r="FG6" s="77"/>
      <c r="FH6" s="77"/>
      <c r="FI6" s="77"/>
      <c r="FJ6" s="77"/>
      <c r="FK6" s="77"/>
      <c r="FL6" s="77"/>
      <c r="FM6" s="77"/>
      <c r="FN6" s="77"/>
      <c r="FO6" s="77"/>
      <c r="FP6" s="77"/>
      <c r="FQ6" s="77"/>
      <c r="FR6" s="77"/>
      <c r="FS6" s="77"/>
      <c r="FT6" s="77"/>
      <c r="FU6" s="77"/>
      <c r="FV6" s="77"/>
      <c r="FW6" s="77"/>
      <c r="FX6" s="77"/>
      <c r="FY6" s="77"/>
      <c r="FZ6" s="77"/>
      <c r="GA6" s="77"/>
      <c r="GB6" s="77"/>
      <c r="GC6" s="77"/>
      <c r="GD6" s="77"/>
      <c r="GE6" s="77"/>
      <c r="GF6" s="77"/>
      <c r="GG6" s="77"/>
      <c r="GH6" s="77"/>
      <c r="GI6" s="77"/>
      <c r="GJ6" s="77"/>
      <c r="GK6" s="77"/>
      <c r="GL6" s="77"/>
      <c r="GM6" s="77"/>
      <c r="GN6" s="77"/>
      <c r="GO6" s="77"/>
      <c r="GP6" s="77"/>
      <c r="GQ6" s="77"/>
      <c r="GR6" s="77"/>
      <c r="GS6" s="77"/>
      <c r="GT6" s="77"/>
      <c r="GU6" s="77"/>
      <c r="GV6" s="77"/>
      <c r="GW6" s="77"/>
      <c r="GX6" s="77"/>
      <c r="GY6" s="77"/>
      <c r="GZ6" s="77"/>
      <c r="HA6" s="77"/>
      <c r="HB6" s="77"/>
      <c r="HC6" s="77"/>
      <c r="HD6" s="77"/>
      <c r="HE6" s="77"/>
      <c r="HF6" s="77"/>
      <c r="HG6" s="77"/>
      <c r="HH6" s="77"/>
      <c r="HI6" s="77"/>
      <c r="HJ6" s="77"/>
      <c r="HK6" s="77"/>
      <c r="HL6" s="77"/>
      <c r="HM6" s="77"/>
      <c r="HN6" s="77"/>
      <c r="HO6" s="77"/>
      <c r="HP6" s="77"/>
      <c r="HQ6" s="77"/>
      <c r="HR6" s="77"/>
      <c r="HS6" s="77"/>
      <c r="HT6" s="77"/>
      <c r="HU6" s="77"/>
      <c r="HV6" s="77"/>
      <c r="HW6" s="77"/>
      <c r="HX6" s="77"/>
      <c r="HY6" s="77"/>
      <c r="HZ6" s="77"/>
      <c r="IA6" s="77"/>
      <c r="IB6" s="77"/>
      <c r="IC6" s="77"/>
      <c r="ID6" s="77"/>
      <c r="IE6" s="77"/>
      <c r="IF6" s="77"/>
      <c r="IG6" s="77"/>
      <c r="IH6" s="77"/>
      <c r="II6" s="77"/>
      <c r="IJ6" s="77"/>
      <c r="IK6" s="77"/>
    </row>
    <row r="7" spans="1:245">
      <c r="A7" s="368"/>
      <c r="B7" s="372"/>
      <c r="C7" s="115"/>
      <c r="D7" s="116"/>
      <c r="E7" s="116"/>
      <c r="F7" s="119"/>
      <c r="G7" s="188"/>
      <c r="H7" s="180"/>
      <c r="I7" s="189"/>
      <c r="J7" s="187"/>
      <c r="K7" s="183"/>
      <c r="L7" s="183"/>
      <c r="M7" s="184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179"/>
      <c r="AB7" s="179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  <c r="BW7" s="77"/>
      <c r="BX7" s="77"/>
      <c r="BY7" s="77"/>
      <c r="BZ7" s="77"/>
      <c r="CA7" s="77"/>
      <c r="CB7" s="77"/>
      <c r="CC7" s="77"/>
      <c r="CD7" s="77"/>
      <c r="CE7" s="77"/>
      <c r="CF7" s="77"/>
      <c r="CG7" s="77"/>
      <c r="CH7" s="77"/>
      <c r="CI7" s="77"/>
      <c r="CJ7" s="77"/>
      <c r="CK7" s="77"/>
      <c r="CL7" s="77"/>
      <c r="CM7" s="77"/>
      <c r="CN7" s="77"/>
      <c r="CO7" s="77"/>
      <c r="CP7" s="77"/>
      <c r="CQ7" s="77"/>
      <c r="CR7" s="77"/>
      <c r="CS7" s="77"/>
      <c r="CT7" s="77"/>
      <c r="CU7" s="77"/>
      <c r="CV7" s="77"/>
      <c r="CW7" s="77"/>
      <c r="CX7" s="77"/>
      <c r="CY7" s="77"/>
      <c r="CZ7" s="77"/>
      <c r="DA7" s="77"/>
      <c r="DB7" s="77"/>
      <c r="DC7" s="77"/>
      <c r="DD7" s="77"/>
      <c r="DE7" s="77"/>
      <c r="DF7" s="77"/>
      <c r="DG7" s="77"/>
      <c r="DH7" s="77"/>
      <c r="DI7" s="77"/>
      <c r="DJ7" s="77"/>
      <c r="DK7" s="77"/>
      <c r="DL7" s="77"/>
      <c r="DM7" s="77"/>
      <c r="DN7" s="77"/>
      <c r="DO7" s="77"/>
      <c r="DP7" s="77"/>
      <c r="DQ7" s="77"/>
      <c r="DR7" s="77"/>
      <c r="DS7" s="77"/>
      <c r="DT7" s="77"/>
      <c r="DU7" s="77"/>
      <c r="DV7" s="77"/>
      <c r="DW7" s="77"/>
      <c r="DX7" s="77"/>
      <c r="DY7" s="77"/>
      <c r="DZ7" s="77"/>
      <c r="EA7" s="77"/>
      <c r="EB7" s="77"/>
      <c r="EC7" s="77"/>
      <c r="ED7" s="77"/>
      <c r="EE7" s="77"/>
      <c r="EF7" s="77"/>
      <c r="EG7" s="77"/>
      <c r="EH7" s="77"/>
      <c r="EI7" s="77"/>
      <c r="EJ7" s="77"/>
      <c r="EK7" s="77"/>
      <c r="EL7" s="77"/>
      <c r="EM7" s="77"/>
      <c r="EN7" s="77"/>
      <c r="EO7" s="77"/>
      <c r="EP7" s="77"/>
      <c r="EQ7" s="77"/>
      <c r="ER7" s="77"/>
      <c r="ES7" s="77"/>
      <c r="ET7" s="77"/>
      <c r="EU7" s="77"/>
      <c r="EV7" s="77"/>
      <c r="EW7" s="77"/>
      <c r="EX7" s="77"/>
      <c r="EY7" s="77"/>
      <c r="EZ7" s="77"/>
      <c r="FA7" s="77"/>
      <c r="FB7" s="77"/>
      <c r="FC7" s="77"/>
      <c r="FD7" s="77"/>
      <c r="FE7" s="77"/>
      <c r="FF7" s="77"/>
      <c r="FG7" s="77"/>
      <c r="FH7" s="77"/>
      <c r="FI7" s="77"/>
      <c r="FJ7" s="77"/>
      <c r="FK7" s="77"/>
      <c r="FL7" s="77"/>
      <c r="FM7" s="77"/>
      <c r="FN7" s="77"/>
      <c r="FO7" s="77"/>
      <c r="FP7" s="77"/>
      <c r="FQ7" s="77"/>
      <c r="FR7" s="77"/>
      <c r="FS7" s="77"/>
      <c r="FT7" s="77"/>
      <c r="FU7" s="77"/>
      <c r="FV7" s="77"/>
      <c r="FW7" s="77"/>
      <c r="FX7" s="77"/>
      <c r="FY7" s="77"/>
      <c r="FZ7" s="77"/>
      <c r="GA7" s="77"/>
      <c r="GB7" s="77"/>
      <c r="GC7" s="77"/>
      <c r="GD7" s="77"/>
      <c r="GE7" s="77"/>
      <c r="GF7" s="77"/>
      <c r="GG7" s="77"/>
      <c r="GH7" s="77"/>
      <c r="GI7" s="77"/>
      <c r="GJ7" s="77"/>
      <c r="GK7" s="77"/>
      <c r="GL7" s="77"/>
      <c r="GM7" s="77"/>
      <c r="GN7" s="77"/>
      <c r="GO7" s="77"/>
      <c r="GP7" s="77"/>
      <c r="GQ7" s="77"/>
      <c r="GR7" s="77"/>
      <c r="GS7" s="77"/>
      <c r="GT7" s="77"/>
      <c r="GU7" s="77"/>
      <c r="GV7" s="77"/>
      <c r="GW7" s="77"/>
      <c r="GX7" s="77"/>
      <c r="GY7" s="77"/>
      <c r="GZ7" s="77"/>
      <c r="HA7" s="77"/>
      <c r="HB7" s="77"/>
      <c r="HC7" s="77"/>
      <c r="HD7" s="77"/>
      <c r="HE7" s="77"/>
      <c r="HF7" s="77"/>
      <c r="HG7" s="77"/>
      <c r="HH7" s="77"/>
      <c r="HI7" s="77"/>
      <c r="HJ7" s="77"/>
      <c r="HK7" s="77"/>
      <c r="HL7" s="77"/>
      <c r="HM7" s="77"/>
      <c r="HN7" s="77"/>
      <c r="HO7" s="77"/>
      <c r="HP7" s="77"/>
      <c r="HQ7" s="77"/>
      <c r="HR7" s="77"/>
      <c r="HS7" s="77"/>
      <c r="HT7" s="77"/>
      <c r="HU7" s="77"/>
      <c r="HV7" s="77"/>
      <c r="HW7" s="77"/>
      <c r="HX7" s="77"/>
      <c r="HY7" s="77"/>
      <c r="HZ7" s="77"/>
      <c r="IA7" s="77"/>
      <c r="IB7" s="77"/>
      <c r="IC7" s="77"/>
      <c r="ID7" s="77"/>
      <c r="IE7" s="77"/>
      <c r="IF7" s="77"/>
      <c r="IG7" s="77"/>
      <c r="IH7" s="77"/>
      <c r="II7" s="77"/>
      <c r="IJ7" s="77"/>
      <c r="IK7" s="77"/>
    </row>
    <row r="8" spans="1:245">
      <c r="A8" s="368"/>
      <c r="B8" s="372"/>
      <c r="C8" s="115"/>
      <c r="D8" s="116"/>
      <c r="E8" s="116"/>
      <c r="F8" s="119"/>
      <c r="G8" s="188"/>
      <c r="H8" s="180"/>
      <c r="I8" s="181"/>
      <c r="J8" s="187"/>
      <c r="K8" s="183"/>
      <c r="L8" s="183"/>
      <c r="M8" s="184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179"/>
      <c r="AB8" s="179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7"/>
      <c r="CB8" s="77"/>
      <c r="CC8" s="77"/>
      <c r="CD8" s="77"/>
      <c r="CE8" s="77"/>
      <c r="CF8" s="77"/>
      <c r="CG8" s="77"/>
      <c r="CH8" s="77"/>
      <c r="CI8" s="77"/>
      <c r="CJ8" s="77"/>
      <c r="CK8" s="77"/>
      <c r="CL8" s="77"/>
      <c r="CM8" s="77"/>
      <c r="CN8" s="77"/>
      <c r="CO8" s="77"/>
      <c r="CP8" s="77"/>
      <c r="CQ8" s="77"/>
      <c r="CR8" s="77"/>
      <c r="CS8" s="77"/>
      <c r="CT8" s="77"/>
      <c r="CU8" s="77"/>
      <c r="CV8" s="77"/>
      <c r="CW8" s="77"/>
      <c r="CX8" s="77"/>
      <c r="CY8" s="77"/>
      <c r="CZ8" s="77"/>
      <c r="DA8" s="77"/>
      <c r="DB8" s="77"/>
      <c r="DC8" s="77"/>
      <c r="DD8" s="77"/>
      <c r="DE8" s="77"/>
      <c r="DF8" s="77"/>
      <c r="DG8" s="77"/>
      <c r="DH8" s="77"/>
      <c r="DI8" s="77"/>
      <c r="DJ8" s="77"/>
      <c r="DK8" s="77"/>
      <c r="DL8" s="77"/>
      <c r="DM8" s="77"/>
      <c r="DN8" s="77"/>
      <c r="DO8" s="77"/>
      <c r="DP8" s="77"/>
      <c r="DQ8" s="77"/>
      <c r="DR8" s="77"/>
      <c r="DS8" s="77"/>
      <c r="DT8" s="77"/>
      <c r="DU8" s="77"/>
      <c r="DV8" s="77"/>
      <c r="DW8" s="77"/>
      <c r="DX8" s="77"/>
      <c r="DY8" s="77"/>
      <c r="DZ8" s="77"/>
      <c r="EA8" s="77"/>
      <c r="EB8" s="77"/>
      <c r="EC8" s="77"/>
      <c r="ED8" s="77"/>
      <c r="EE8" s="77"/>
      <c r="EF8" s="77"/>
      <c r="EG8" s="77"/>
      <c r="EH8" s="77"/>
      <c r="EI8" s="77"/>
      <c r="EJ8" s="77"/>
      <c r="EK8" s="77"/>
      <c r="EL8" s="77"/>
      <c r="EM8" s="77"/>
      <c r="EN8" s="77"/>
      <c r="EO8" s="77"/>
      <c r="EP8" s="77"/>
      <c r="EQ8" s="77"/>
      <c r="ER8" s="77"/>
      <c r="ES8" s="77"/>
      <c r="ET8" s="77"/>
      <c r="EU8" s="77"/>
      <c r="EV8" s="77"/>
      <c r="EW8" s="77"/>
      <c r="EX8" s="77"/>
      <c r="EY8" s="77"/>
      <c r="EZ8" s="77"/>
      <c r="FA8" s="77"/>
      <c r="FB8" s="77"/>
      <c r="FC8" s="77"/>
      <c r="FD8" s="77"/>
      <c r="FE8" s="77"/>
      <c r="FF8" s="77"/>
      <c r="FG8" s="77"/>
      <c r="FH8" s="77"/>
      <c r="FI8" s="77"/>
      <c r="FJ8" s="77"/>
      <c r="FK8" s="77"/>
      <c r="FL8" s="77"/>
      <c r="FM8" s="77"/>
      <c r="FN8" s="77"/>
      <c r="FO8" s="77"/>
      <c r="FP8" s="77"/>
      <c r="FQ8" s="77"/>
      <c r="FR8" s="77"/>
      <c r="FS8" s="77"/>
      <c r="FT8" s="77"/>
      <c r="FU8" s="77"/>
      <c r="FV8" s="77"/>
      <c r="FW8" s="77"/>
      <c r="FX8" s="77"/>
      <c r="FY8" s="77"/>
      <c r="FZ8" s="77"/>
      <c r="GA8" s="77"/>
      <c r="GB8" s="77"/>
      <c r="GC8" s="77"/>
      <c r="GD8" s="77"/>
      <c r="GE8" s="77"/>
      <c r="GF8" s="77"/>
      <c r="GG8" s="77"/>
      <c r="GH8" s="77"/>
      <c r="GI8" s="77"/>
      <c r="GJ8" s="77"/>
      <c r="GK8" s="77"/>
      <c r="GL8" s="77"/>
      <c r="GM8" s="77"/>
      <c r="GN8" s="77"/>
      <c r="GO8" s="77"/>
      <c r="GP8" s="77"/>
      <c r="GQ8" s="77"/>
      <c r="GR8" s="77"/>
      <c r="GS8" s="77"/>
      <c r="GT8" s="77"/>
      <c r="GU8" s="77"/>
      <c r="GV8" s="77"/>
      <c r="GW8" s="77"/>
      <c r="GX8" s="77"/>
      <c r="GY8" s="77"/>
      <c r="GZ8" s="77"/>
      <c r="HA8" s="77"/>
      <c r="HB8" s="77"/>
      <c r="HC8" s="77"/>
      <c r="HD8" s="77"/>
      <c r="HE8" s="77"/>
      <c r="HF8" s="77"/>
      <c r="HG8" s="77"/>
      <c r="HH8" s="77"/>
      <c r="HI8" s="77"/>
      <c r="HJ8" s="77"/>
      <c r="HK8" s="77"/>
      <c r="HL8" s="77"/>
      <c r="HM8" s="77"/>
      <c r="HN8" s="77"/>
      <c r="HO8" s="77"/>
      <c r="HP8" s="77"/>
      <c r="HQ8" s="77"/>
      <c r="HR8" s="77"/>
      <c r="HS8" s="77"/>
      <c r="HT8" s="77"/>
      <c r="HU8" s="77"/>
      <c r="HV8" s="77"/>
      <c r="HW8" s="77"/>
      <c r="HX8" s="77"/>
      <c r="HY8" s="77"/>
      <c r="HZ8" s="77"/>
      <c r="IA8" s="77"/>
      <c r="IB8" s="77"/>
      <c r="IC8" s="77"/>
      <c r="ID8" s="77"/>
      <c r="IE8" s="77"/>
      <c r="IF8" s="77"/>
      <c r="IG8" s="77"/>
      <c r="IH8" s="77"/>
      <c r="II8" s="77"/>
      <c r="IJ8" s="77"/>
      <c r="IK8" s="77"/>
    </row>
    <row r="9" spans="1:245">
      <c r="A9" s="368"/>
      <c r="B9" s="372"/>
      <c r="C9" s="115"/>
      <c r="D9" s="116"/>
      <c r="E9" s="116"/>
      <c r="F9" s="119"/>
      <c r="G9" s="188"/>
      <c r="H9" s="180"/>
      <c r="I9" s="189"/>
      <c r="J9" s="187"/>
      <c r="K9" s="183"/>
      <c r="L9" s="183"/>
      <c r="M9" s="184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179"/>
      <c r="AB9" s="179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7"/>
      <c r="CB9" s="77"/>
      <c r="CC9" s="77"/>
      <c r="CD9" s="77"/>
      <c r="CE9" s="77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/>
      <c r="CT9" s="77"/>
      <c r="CU9" s="77"/>
      <c r="CV9" s="77"/>
      <c r="CW9" s="77"/>
      <c r="CX9" s="77"/>
      <c r="CY9" s="77"/>
      <c r="CZ9" s="77"/>
      <c r="DA9" s="77"/>
      <c r="DB9" s="77"/>
      <c r="DC9" s="77"/>
      <c r="DD9" s="77"/>
      <c r="DE9" s="77"/>
      <c r="DF9" s="77"/>
      <c r="DG9" s="77"/>
      <c r="DH9" s="77"/>
      <c r="DI9" s="77"/>
      <c r="DJ9" s="77"/>
      <c r="DK9" s="77"/>
      <c r="DL9" s="77"/>
      <c r="DM9" s="77"/>
      <c r="DN9" s="77"/>
      <c r="DO9" s="77"/>
      <c r="DP9" s="77"/>
      <c r="DQ9" s="77"/>
      <c r="DR9" s="77"/>
      <c r="DS9" s="77"/>
      <c r="DT9" s="77"/>
      <c r="DU9" s="77"/>
      <c r="DV9" s="77"/>
      <c r="DW9" s="77"/>
      <c r="DX9" s="77"/>
      <c r="DY9" s="77"/>
      <c r="DZ9" s="77"/>
      <c r="EA9" s="77"/>
      <c r="EB9" s="77"/>
      <c r="EC9" s="77"/>
      <c r="ED9" s="77"/>
      <c r="EE9" s="77"/>
      <c r="EF9" s="77"/>
      <c r="EG9" s="77"/>
      <c r="EH9" s="77"/>
      <c r="EI9" s="77"/>
      <c r="EJ9" s="77"/>
      <c r="EK9" s="77"/>
      <c r="EL9" s="77"/>
      <c r="EM9" s="77"/>
      <c r="EN9" s="77"/>
      <c r="EO9" s="77"/>
      <c r="EP9" s="77"/>
      <c r="EQ9" s="77"/>
      <c r="ER9" s="77"/>
      <c r="ES9" s="77"/>
      <c r="ET9" s="77"/>
      <c r="EU9" s="77"/>
      <c r="EV9" s="77"/>
      <c r="EW9" s="77"/>
      <c r="EX9" s="77"/>
      <c r="EY9" s="77"/>
      <c r="EZ9" s="77"/>
      <c r="FA9" s="77"/>
      <c r="FB9" s="77"/>
      <c r="FC9" s="77"/>
      <c r="FD9" s="77"/>
      <c r="FE9" s="77"/>
      <c r="FF9" s="77"/>
      <c r="FG9" s="77"/>
      <c r="FH9" s="77"/>
      <c r="FI9" s="77"/>
      <c r="FJ9" s="77"/>
      <c r="FK9" s="77"/>
      <c r="FL9" s="77"/>
      <c r="FM9" s="77"/>
      <c r="FN9" s="77"/>
      <c r="FO9" s="77"/>
      <c r="FP9" s="77"/>
      <c r="FQ9" s="77"/>
      <c r="FR9" s="77"/>
      <c r="FS9" s="77"/>
      <c r="FT9" s="77"/>
      <c r="FU9" s="77"/>
      <c r="FV9" s="77"/>
      <c r="FW9" s="77"/>
      <c r="FX9" s="77"/>
      <c r="FY9" s="77"/>
      <c r="FZ9" s="77"/>
      <c r="GA9" s="77"/>
      <c r="GB9" s="77"/>
      <c r="GC9" s="77"/>
      <c r="GD9" s="77"/>
      <c r="GE9" s="77"/>
      <c r="GF9" s="77"/>
      <c r="GG9" s="77"/>
      <c r="GH9" s="77"/>
      <c r="GI9" s="77"/>
      <c r="GJ9" s="77"/>
      <c r="GK9" s="77"/>
      <c r="GL9" s="77"/>
      <c r="GM9" s="77"/>
      <c r="GN9" s="77"/>
      <c r="GO9" s="77"/>
      <c r="GP9" s="77"/>
      <c r="GQ9" s="77"/>
      <c r="GR9" s="77"/>
      <c r="GS9" s="77"/>
      <c r="GT9" s="77"/>
      <c r="GU9" s="77"/>
      <c r="GV9" s="77"/>
      <c r="GW9" s="77"/>
      <c r="GX9" s="77"/>
      <c r="GY9" s="77"/>
      <c r="GZ9" s="77"/>
      <c r="HA9" s="77"/>
      <c r="HB9" s="77"/>
      <c r="HC9" s="77"/>
      <c r="HD9" s="77"/>
      <c r="HE9" s="77"/>
      <c r="HF9" s="77"/>
      <c r="HG9" s="77"/>
      <c r="HH9" s="77"/>
      <c r="HI9" s="77"/>
      <c r="HJ9" s="77"/>
      <c r="HK9" s="77"/>
      <c r="HL9" s="77"/>
      <c r="HM9" s="77"/>
      <c r="HN9" s="77"/>
      <c r="HO9" s="77"/>
      <c r="HP9" s="77"/>
      <c r="HQ9" s="77"/>
      <c r="HR9" s="77"/>
      <c r="HS9" s="77"/>
      <c r="HT9" s="77"/>
      <c r="HU9" s="77"/>
      <c r="HV9" s="77"/>
      <c r="HW9" s="77"/>
      <c r="HX9" s="77"/>
      <c r="HY9" s="77"/>
      <c r="HZ9" s="77"/>
      <c r="IA9" s="77"/>
      <c r="IB9" s="77"/>
      <c r="IC9" s="77"/>
      <c r="ID9" s="77"/>
      <c r="IE9" s="77"/>
      <c r="IF9" s="77"/>
      <c r="IG9" s="77"/>
      <c r="IH9" s="77"/>
      <c r="II9" s="77"/>
      <c r="IJ9" s="77"/>
      <c r="IK9" s="77"/>
    </row>
    <row r="10" spans="1:245">
      <c r="A10" s="368"/>
      <c r="B10" s="372"/>
      <c r="C10" s="115"/>
      <c r="D10" s="116"/>
      <c r="E10" s="116"/>
      <c r="F10" s="119"/>
      <c r="G10" s="188"/>
      <c r="H10" s="180"/>
      <c r="I10" s="181"/>
      <c r="J10" s="187"/>
      <c r="K10" s="183"/>
      <c r="L10" s="183"/>
      <c r="M10" s="184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77"/>
      <c r="BC10" s="77"/>
      <c r="BD10" s="77"/>
      <c r="BE10" s="77"/>
      <c r="BF10" s="77"/>
      <c r="BG10" s="77"/>
      <c r="BH10" s="77"/>
      <c r="BI10" s="77"/>
      <c r="BJ10" s="77"/>
      <c r="BK10" s="77"/>
      <c r="BL10" s="77"/>
      <c r="BM10" s="77"/>
      <c r="BN10" s="77"/>
      <c r="BO10" s="77"/>
      <c r="BP10" s="77"/>
      <c r="BQ10" s="77"/>
      <c r="BR10" s="77"/>
      <c r="BS10" s="77"/>
      <c r="BT10" s="77"/>
      <c r="BU10" s="77"/>
      <c r="BV10" s="77"/>
      <c r="BW10" s="77"/>
      <c r="BX10" s="77"/>
      <c r="BY10" s="77"/>
      <c r="BZ10" s="77"/>
      <c r="CA10" s="77"/>
      <c r="CB10" s="77"/>
      <c r="CC10" s="77"/>
      <c r="CD10" s="77"/>
      <c r="CE10" s="77"/>
      <c r="CF10" s="77"/>
      <c r="CG10" s="77"/>
      <c r="CH10" s="77"/>
      <c r="CI10" s="77"/>
      <c r="CJ10" s="77"/>
      <c r="CK10" s="77"/>
      <c r="CL10" s="77"/>
      <c r="CM10" s="77"/>
      <c r="CN10" s="77"/>
      <c r="CO10" s="77"/>
      <c r="CP10" s="77"/>
      <c r="CQ10" s="77"/>
      <c r="CR10" s="77"/>
      <c r="CS10" s="77"/>
      <c r="CT10" s="77"/>
      <c r="CU10" s="77"/>
      <c r="CV10" s="77"/>
      <c r="CW10" s="77"/>
      <c r="CX10" s="77"/>
      <c r="CY10" s="77"/>
      <c r="CZ10" s="77"/>
      <c r="DA10" s="77"/>
      <c r="DB10" s="77"/>
      <c r="DC10" s="77"/>
      <c r="DD10" s="77"/>
      <c r="DE10" s="77"/>
      <c r="DF10" s="77"/>
      <c r="DG10" s="77"/>
      <c r="DH10" s="77"/>
      <c r="DI10" s="77"/>
      <c r="DJ10" s="77"/>
      <c r="DK10" s="77"/>
      <c r="DL10" s="77"/>
      <c r="DM10" s="77"/>
      <c r="DN10" s="77"/>
      <c r="DO10" s="77"/>
      <c r="DP10" s="77"/>
      <c r="DQ10" s="77"/>
      <c r="DR10" s="77"/>
      <c r="DS10" s="77"/>
      <c r="DT10" s="77"/>
      <c r="DU10" s="77"/>
      <c r="DV10" s="77"/>
      <c r="DW10" s="77"/>
      <c r="DX10" s="77"/>
      <c r="DY10" s="77"/>
      <c r="DZ10" s="77"/>
      <c r="EA10" s="77"/>
      <c r="EB10" s="77"/>
      <c r="EC10" s="77"/>
      <c r="ED10" s="77"/>
      <c r="EE10" s="77"/>
      <c r="EF10" s="77"/>
      <c r="EG10" s="77"/>
      <c r="EH10" s="77"/>
      <c r="EI10" s="77"/>
      <c r="EJ10" s="77"/>
      <c r="EK10" s="77"/>
      <c r="EL10" s="77"/>
      <c r="EM10" s="77"/>
      <c r="EN10" s="77"/>
      <c r="EO10" s="77"/>
      <c r="EP10" s="77"/>
      <c r="EQ10" s="77"/>
      <c r="ER10" s="77"/>
      <c r="ES10" s="77"/>
      <c r="ET10" s="77"/>
      <c r="EU10" s="77"/>
      <c r="EV10" s="77"/>
      <c r="EW10" s="77"/>
      <c r="EX10" s="77"/>
      <c r="EY10" s="77"/>
      <c r="EZ10" s="77"/>
      <c r="FA10" s="77"/>
      <c r="FB10" s="77"/>
      <c r="FC10" s="77"/>
      <c r="FD10" s="77"/>
      <c r="FE10" s="77"/>
      <c r="FF10" s="77"/>
      <c r="FG10" s="77"/>
      <c r="FH10" s="77"/>
      <c r="FI10" s="77"/>
      <c r="FJ10" s="77"/>
      <c r="FK10" s="77"/>
      <c r="FL10" s="77"/>
      <c r="FM10" s="77"/>
      <c r="FN10" s="77"/>
      <c r="FO10" s="77"/>
      <c r="FP10" s="77"/>
      <c r="FQ10" s="77"/>
      <c r="FR10" s="77"/>
      <c r="FS10" s="77"/>
      <c r="FT10" s="77"/>
      <c r="FU10" s="77"/>
      <c r="FV10" s="77"/>
      <c r="FW10" s="77"/>
      <c r="FX10" s="77"/>
      <c r="FY10" s="77"/>
      <c r="FZ10" s="77"/>
      <c r="GA10" s="77"/>
      <c r="GB10" s="77"/>
      <c r="GC10" s="77"/>
      <c r="GD10" s="77"/>
      <c r="GE10" s="77"/>
      <c r="GF10" s="77"/>
      <c r="GG10" s="77"/>
      <c r="GH10" s="77"/>
      <c r="GI10" s="77"/>
      <c r="GJ10" s="77"/>
      <c r="GK10" s="77"/>
      <c r="GL10" s="77"/>
      <c r="GM10" s="77"/>
      <c r="GN10" s="77"/>
      <c r="GO10" s="77"/>
      <c r="GP10" s="77"/>
      <c r="GQ10" s="77"/>
      <c r="GR10" s="77"/>
      <c r="GS10" s="77"/>
      <c r="GT10" s="77"/>
      <c r="GU10" s="77"/>
      <c r="GV10" s="77"/>
      <c r="GW10" s="77"/>
      <c r="GX10" s="77"/>
      <c r="GY10" s="77"/>
      <c r="GZ10" s="77"/>
      <c r="HA10" s="77"/>
      <c r="HB10" s="77"/>
      <c r="HC10" s="77"/>
      <c r="HD10" s="77"/>
      <c r="HE10" s="77"/>
      <c r="HF10" s="77"/>
      <c r="HG10" s="77"/>
      <c r="HH10" s="77"/>
      <c r="HI10" s="77"/>
      <c r="HJ10" s="77"/>
      <c r="HK10" s="77"/>
      <c r="HL10" s="77"/>
      <c r="HM10" s="77"/>
      <c r="HN10" s="77"/>
      <c r="HO10" s="77"/>
      <c r="HP10" s="77"/>
      <c r="HQ10" s="77"/>
      <c r="HR10" s="77"/>
      <c r="HS10" s="77"/>
      <c r="HT10" s="77"/>
      <c r="HU10" s="77"/>
      <c r="HV10" s="77"/>
      <c r="HW10" s="77"/>
      <c r="HX10" s="77"/>
      <c r="HY10" s="77"/>
      <c r="HZ10" s="77"/>
      <c r="IA10" s="77"/>
      <c r="IB10" s="77"/>
      <c r="IC10" s="77"/>
      <c r="ID10" s="77"/>
      <c r="IE10" s="77"/>
      <c r="IF10" s="77"/>
      <c r="IG10" s="77"/>
      <c r="IH10" s="77"/>
      <c r="II10" s="77"/>
      <c r="IJ10" s="77"/>
      <c r="IK10" s="77"/>
    </row>
    <row r="11" spans="1:245" ht="22.5" thickBot="1">
      <c r="A11" s="368"/>
      <c r="B11" s="372"/>
      <c r="C11" s="115"/>
      <c r="D11" s="116"/>
      <c r="E11" s="116"/>
      <c r="F11" s="119"/>
      <c r="G11" s="188"/>
      <c r="H11" s="180"/>
      <c r="I11" s="189"/>
      <c r="J11" s="187"/>
      <c r="K11" s="183"/>
      <c r="L11" s="183"/>
      <c r="M11" s="184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77"/>
      <c r="CH11" s="77"/>
      <c r="CI11" s="77"/>
      <c r="CJ11" s="77"/>
      <c r="CK11" s="77"/>
      <c r="CL11" s="77"/>
      <c r="CM11" s="77"/>
      <c r="CN11" s="77"/>
      <c r="CO11" s="77"/>
      <c r="CP11" s="77"/>
      <c r="CQ11" s="77"/>
      <c r="CR11" s="77"/>
      <c r="CS11" s="77"/>
      <c r="CT11" s="77"/>
      <c r="CU11" s="77"/>
      <c r="CV11" s="77"/>
      <c r="CW11" s="77"/>
      <c r="CX11" s="77"/>
      <c r="CY11" s="77"/>
      <c r="CZ11" s="77"/>
      <c r="DA11" s="77"/>
      <c r="DB11" s="77"/>
      <c r="DC11" s="77"/>
      <c r="DD11" s="77"/>
      <c r="DE11" s="77"/>
      <c r="DF11" s="77"/>
      <c r="DG11" s="77"/>
      <c r="DH11" s="77"/>
      <c r="DI11" s="77"/>
      <c r="DJ11" s="77"/>
      <c r="DK11" s="77"/>
      <c r="DL11" s="77"/>
      <c r="DM11" s="77"/>
      <c r="DN11" s="77"/>
      <c r="DO11" s="77"/>
      <c r="DP11" s="77"/>
      <c r="DQ11" s="77"/>
      <c r="DR11" s="77"/>
      <c r="DS11" s="77"/>
      <c r="DT11" s="77"/>
      <c r="DU11" s="77"/>
      <c r="DV11" s="77"/>
      <c r="DW11" s="77"/>
      <c r="DX11" s="77"/>
      <c r="DY11" s="77"/>
      <c r="DZ11" s="77"/>
      <c r="EA11" s="77"/>
      <c r="EB11" s="77"/>
      <c r="EC11" s="77"/>
      <c r="ED11" s="77"/>
      <c r="EE11" s="77"/>
      <c r="EF11" s="77"/>
      <c r="EG11" s="77"/>
      <c r="EH11" s="77"/>
      <c r="EI11" s="77"/>
      <c r="EJ11" s="77"/>
      <c r="EK11" s="77"/>
      <c r="EL11" s="77"/>
      <c r="EM11" s="77"/>
      <c r="EN11" s="77"/>
      <c r="EO11" s="77"/>
      <c r="EP11" s="77"/>
      <c r="EQ11" s="77"/>
      <c r="ER11" s="77"/>
      <c r="ES11" s="77"/>
      <c r="ET11" s="77"/>
      <c r="EU11" s="77"/>
      <c r="EV11" s="77"/>
      <c r="EW11" s="77"/>
      <c r="EX11" s="77"/>
      <c r="EY11" s="77"/>
      <c r="EZ11" s="77"/>
      <c r="FA11" s="77"/>
      <c r="FB11" s="77"/>
      <c r="FC11" s="77"/>
      <c r="FD11" s="77"/>
      <c r="FE11" s="77"/>
      <c r="FF11" s="77"/>
      <c r="FG11" s="77"/>
      <c r="FH11" s="77"/>
      <c r="FI11" s="77"/>
      <c r="FJ11" s="77"/>
      <c r="FK11" s="77"/>
      <c r="FL11" s="77"/>
      <c r="FM11" s="77"/>
      <c r="FN11" s="77"/>
      <c r="FO11" s="77"/>
      <c r="FP11" s="77"/>
      <c r="FQ11" s="77"/>
      <c r="FR11" s="77"/>
      <c r="FS11" s="77"/>
      <c r="FT11" s="77"/>
      <c r="FU11" s="77"/>
      <c r="FV11" s="77"/>
      <c r="FW11" s="77"/>
      <c r="FX11" s="77"/>
      <c r="FY11" s="77"/>
      <c r="FZ11" s="77"/>
      <c r="GA11" s="77"/>
      <c r="GB11" s="77"/>
      <c r="GC11" s="77"/>
      <c r="GD11" s="77"/>
      <c r="GE11" s="77"/>
      <c r="GF11" s="77"/>
      <c r="GG11" s="77"/>
      <c r="GH11" s="77"/>
      <c r="GI11" s="77"/>
      <c r="GJ11" s="77"/>
      <c r="GK11" s="77"/>
      <c r="GL11" s="77"/>
      <c r="GM11" s="77"/>
      <c r="GN11" s="77"/>
      <c r="GO11" s="77"/>
      <c r="GP11" s="77"/>
      <c r="GQ11" s="77"/>
      <c r="GR11" s="77"/>
      <c r="GS11" s="77"/>
      <c r="GT11" s="77"/>
      <c r="GU11" s="77"/>
      <c r="GV11" s="77"/>
      <c r="GW11" s="77"/>
      <c r="GX11" s="77"/>
      <c r="GY11" s="77"/>
      <c r="GZ11" s="77"/>
      <c r="HA11" s="77"/>
      <c r="HB11" s="77"/>
      <c r="HC11" s="77"/>
      <c r="HD11" s="77"/>
      <c r="HE11" s="77"/>
      <c r="HF11" s="77"/>
      <c r="HG11" s="77"/>
      <c r="HH11" s="77"/>
      <c r="HI11" s="77"/>
      <c r="HJ11" s="77"/>
      <c r="HK11" s="77"/>
      <c r="HL11" s="77"/>
      <c r="HM11" s="77"/>
      <c r="HN11" s="77"/>
      <c r="HO11" s="77"/>
      <c r="HP11" s="77"/>
      <c r="HQ11" s="77"/>
      <c r="HR11" s="77"/>
      <c r="HS11" s="77"/>
      <c r="HT11" s="77"/>
      <c r="HU11" s="77"/>
      <c r="HV11" s="77"/>
      <c r="HW11" s="77"/>
      <c r="HX11" s="77"/>
      <c r="HY11" s="77"/>
      <c r="HZ11" s="77"/>
      <c r="IA11" s="77"/>
      <c r="IB11" s="77"/>
      <c r="IC11" s="77"/>
      <c r="ID11" s="77"/>
      <c r="IE11" s="77"/>
      <c r="IF11" s="77"/>
      <c r="IG11" s="77"/>
      <c r="IH11" s="77"/>
      <c r="II11" s="77"/>
      <c r="IJ11" s="77"/>
      <c r="IK11" s="77"/>
    </row>
    <row r="12" spans="1:245">
      <c r="A12" s="368"/>
      <c r="B12" s="372"/>
      <c r="C12" s="115"/>
      <c r="D12" s="116"/>
      <c r="E12" s="116"/>
      <c r="F12" s="119"/>
      <c r="G12" s="188"/>
      <c r="H12" s="180"/>
      <c r="I12" s="181"/>
      <c r="J12" s="381"/>
      <c r="K12" s="382"/>
      <c r="L12" s="382"/>
      <c r="M12" s="383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77"/>
      <c r="BA12" s="77"/>
      <c r="BB12" s="77"/>
      <c r="BC12" s="77"/>
      <c r="BD12" s="77"/>
      <c r="BE12" s="77"/>
      <c r="BF12" s="77"/>
      <c r="BG12" s="77"/>
      <c r="BH12" s="77"/>
      <c r="BI12" s="77"/>
      <c r="BJ12" s="77"/>
      <c r="BK12" s="77"/>
      <c r="BL12" s="77"/>
      <c r="BM12" s="77"/>
      <c r="BN12" s="77"/>
      <c r="BO12" s="77"/>
      <c r="BP12" s="77"/>
      <c r="BQ12" s="77"/>
      <c r="BR12" s="77"/>
      <c r="BS12" s="77"/>
      <c r="BT12" s="77"/>
      <c r="BU12" s="77"/>
      <c r="BV12" s="77"/>
      <c r="BW12" s="77"/>
      <c r="BX12" s="77"/>
      <c r="BY12" s="77"/>
      <c r="BZ12" s="77"/>
      <c r="CA12" s="77"/>
      <c r="CB12" s="77"/>
      <c r="CC12" s="77"/>
      <c r="CD12" s="77"/>
      <c r="CE12" s="77"/>
      <c r="CF12" s="77"/>
      <c r="CG12" s="77"/>
      <c r="CH12" s="77"/>
      <c r="CI12" s="77"/>
      <c r="CJ12" s="77"/>
      <c r="CK12" s="77"/>
      <c r="CL12" s="77"/>
      <c r="CM12" s="77"/>
      <c r="CN12" s="77"/>
      <c r="CO12" s="77"/>
      <c r="CP12" s="77"/>
      <c r="CQ12" s="77"/>
      <c r="CR12" s="77"/>
      <c r="CS12" s="77"/>
      <c r="CT12" s="77"/>
      <c r="CU12" s="77"/>
      <c r="CV12" s="77"/>
      <c r="CW12" s="77"/>
      <c r="CX12" s="77"/>
      <c r="CY12" s="77"/>
      <c r="CZ12" s="77"/>
      <c r="DA12" s="77"/>
      <c r="DB12" s="77"/>
      <c r="DC12" s="77"/>
      <c r="DD12" s="77"/>
      <c r="DE12" s="77"/>
      <c r="DF12" s="77"/>
      <c r="DG12" s="77"/>
      <c r="DH12" s="77"/>
      <c r="DI12" s="77"/>
      <c r="DJ12" s="77"/>
      <c r="DK12" s="77"/>
      <c r="DL12" s="77"/>
      <c r="DM12" s="77"/>
      <c r="DN12" s="77"/>
      <c r="DO12" s="77"/>
      <c r="DP12" s="77"/>
      <c r="DQ12" s="77"/>
      <c r="DR12" s="77"/>
      <c r="DS12" s="77"/>
      <c r="DT12" s="77"/>
      <c r="DU12" s="77"/>
      <c r="DV12" s="77"/>
      <c r="DW12" s="77"/>
      <c r="DX12" s="77"/>
      <c r="DY12" s="77"/>
      <c r="DZ12" s="77"/>
      <c r="EA12" s="77"/>
      <c r="EB12" s="77"/>
      <c r="EC12" s="77"/>
      <c r="ED12" s="77"/>
      <c r="EE12" s="77"/>
      <c r="EF12" s="77"/>
      <c r="EG12" s="77"/>
      <c r="EH12" s="77"/>
      <c r="EI12" s="77"/>
      <c r="EJ12" s="77"/>
      <c r="EK12" s="77"/>
      <c r="EL12" s="77"/>
      <c r="EM12" s="77"/>
      <c r="EN12" s="77"/>
      <c r="EO12" s="77"/>
      <c r="EP12" s="77"/>
      <c r="EQ12" s="77"/>
      <c r="ER12" s="77"/>
      <c r="ES12" s="77"/>
      <c r="ET12" s="77"/>
      <c r="EU12" s="77"/>
      <c r="EV12" s="77"/>
      <c r="EW12" s="77"/>
      <c r="EX12" s="77"/>
      <c r="EY12" s="77"/>
      <c r="EZ12" s="77"/>
      <c r="FA12" s="77"/>
      <c r="FB12" s="77"/>
      <c r="FC12" s="77"/>
      <c r="FD12" s="77"/>
      <c r="FE12" s="77"/>
      <c r="FF12" s="77"/>
      <c r="FG12" s="77"/>
      <c r="FH12" s="77"/>
      <c r="FI12" s="77"/>
      <c r="FJ12" s="77"/>
      <c r="FK12" s="77"/>
      <c r="FL12" s="77"/>
      <c r="FM12" s="77"/>
      <c r="FN12" s="77"/>
      <c r="FO12" s="77"/>
      <c r="FP12" s="77"/>
      <c r="FQ12" s="77"/>
      <c r="FR12" s="77"/>
      <c r="FS12" s="77"/>
      <c r="FT12" s="77"/>
      <c r="FU12" s="77"/>
      <c r="FV12" s="77"/>
      <c r="FW12" s="77"/>
      <c r="FX12" s="77"/>
      <c r="FY12" s="77"/>
      <c r="FZ12" s="77"/>
      <c r="GA12" s="77"/>
      <c r="GB12" s="77"/>
      <c r="GC12" s="77"/>
      <c r="GD12" s="77"/>
      <c r="GE12" s="77"/>
      <c r="GF12" s="77"/>
      <c r="GG12" s="77"/>
      <c r="GH12" s="77"/>
      <c r="GI12" s="77"/>
      <c r="GJ12" s="77"/>
      <c r="GK12" s="77"/>
      <c r="GL12" s="77"/>
      <c r="GM12" s="77"/>
      <c r="GN12" s="77"/>
      <c r="GO12" s="77"/>
      <c r="GP12" s="77"/>
      <c r="GQ12" s="77"/>
      <c r="GR12" s="77"/>
      <c r="GS12" s="77"/>
      <c r="GT12" s="77"/>
      <c r="GU12" s="77"/>
      <c r="GV12" s="77"/>
      <c r="GW12" s="77"/>
      <c r="GX12" s="77"/>
      <c r="GY12" s="77"/>
      <c r="GZ12" s="77"/>
      <c r="HA12" s="77"/>
      <c r="HB12" s="77"/>
      <c r="HC12" s="77"/>
      <c r="HD12" s="77"/>
      <c r="HE12" s="77"/>
      <c r="HF12" s="77"/>
      <c r="HG12" s="77"/>
      <c r="HH12" s="77"/>
      <c r="HI12" s="77"/>
      <c r="HJ12" s="77"/>
      <c r="HK12" s="77"/>
      <c r="HL12" s="77"/>
      <c r="HM12" s="77"/>
      <c r="HN12" s="77"/>
      <c r="HO12" s="77"/>
      <c r="HP12" s="77"/>
      <c r="HQ12" s="77"/>
      <c r="HR12" s="77"/>
      <c r="HS12" s="77"/>
      <c r="HT12" s="77"/>
      <c r="HU12" s="77"/>
      <c r="HV12" s="77"/>
      <c r="HW12" s="77"/>
      <c r="HX12" s="77"/>
      <c r="HY12" s="77"/>
      <c r="HZ12" s="77"/>
      <c r="IA12" s="77"/>
      <c r="IB12" s="77"/>
      <c r="IC12" s="77"/>
      <c r="ID12" s="77"/>
      <c r="IE12" s="77"/>
      <c r="IF12" s="77"/>
      <c r="IG12" s="77"/>
      <c r="IH12" s="77"/>
      <c r="II12" s="77"/>
      <c r="IJ12" s="77"/>
      <c r="IK12" s="77"/>
    </row>
    <row r="13" spans="1:245">
      <c r="A13" s="368"/>
      <c r="B13" s="372"/>
      <c r="C13" s="115"/>
      <c r="D13" s="116"/>
      <c r="E13" s="116"/>
      <c r="F13" s="119"/>
      <c r="G13" s="188"/>
      <c r="H13" s="180"/>
      <c r="I13" s="189"/>
      <c r="J13" s="384"/>
      <c r="K13" s="134"/>
      <c r="L13" s="134"/>
      <c r="M13" s="135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77"/>
      <c r="BB13" s="77"/>
      <c r="BC13" s="77"/>
      <c r="BD13" s="77"/>
      <c r="BE13" s="77"/>
      <c r="BF13" s="77"/>
      <c r="BG13" s="77"/>
      <c r="BH13" s="77"/>
      <c r="BI13" s="77"/>
      <c r="BJ13" s="77"/>
      <c r="BK13" s="77"/>
      <c r="BL13" s="77"/>
      <c r="BM13" s="77"/>
      <c r="BN13" s="77"/>
      <c r="BO13" s="77"/>
      <c r="BP13" s="77"/>
      <c r="BQ13" s="77"/>
      <c r="BR13" s="77"/>
      <c r="BS13" s="77"/>
      <c r="BT13" s="77"/>
      <c r="BU13" s="77"/>
      <c r="BV13" s="77"/>
      <c r="BW13" s="77"/>
      <c r="BX13" s="77"/>
      <c r="BY13" s="77"/>
      <c r="BZ13" s="77"/>
      <c r="CA13" s="77"/>
      <c r="CB13" s="77"/>
      <c r="CC13" s="77"/>
      <c r="CD13" s="77"/>
      <c r="CE13" s="77"/>
      <c r="CF13" s="77"/>
      <c r="CG13" s="77"/>
      <c r="CH13" s="77"/>
      <c r="CI13" s="77"/>
      <c r="CJ13" s="77"/>
      <c r="CK13" s="77"/>
      <c r="CL13" s="77"/>
      <c r="CM13" s="77"/>
      <c r="CN13" s="77"/>
      <c r="CO13" s="77"/>
      <c r="CP13" s="77"/>
      <c r="CQ13" s="77"/>
      <c r="CR13" s="77"/>
      <c r="CS13" s="77"/>
      <c r="CT13" s="77"/>
      <c r="CU13" s="77"/>
      <c r="CV13" s="77"/>
      <c r="CW13" s="77"/>
      <c r="CX13" s="77"/>
      <c r="CY13" s="77"/>
      <c r="CZ13" s="77"/>
      <c r="DA13" s="77"/>
      <c r="DB13" s="77"/>
      <c r="DC13" s="77"/>
      <c r="DD13" s="77"/>
      <c r="DE13" s="77"/>
      <c r="DF13" s="77"/>
      <c r="DG13" s="77"/>
      <c r="DH13" s="77"/>
      <c r="DI13" s="77"/>
      <c r="DJ13" s="77"/>
      <c r="DK13" s="77"/>
      <c r="DL13" s="77"/>
      <c r="DM13" s="77"/>
      <c r="DN13" s="77"/>
      <c r="DO13" s="77"/>
      <c r="DP13" s="77"/>
      <c r="DQ13" s="77"/>
      <c r="DR13" s="77"/>
      <c r="DS13" s="77"/>
      <c r="DT13" s="77"/>
      <c r="DU13" s="77"/>
      <c r="DV13" s="77"/>
      <c r="DW13" s="77"/>
      <c r="DX13" s="77"/>
      <c r="DY13" s="77"/>
      <c r="DZ13" s="77"/>
      <c r="EA13" s="77"/>
      <c r="EB13" s="77"/>
      <c r="EC13" s="77"/>
      <c r="ED13" s="77"/>
      <c r="EE13" s="77"/>
      <c r="EF13" s="77"/>
      <c r="EG13" s="77"/>
      <c r="EH13" s="77"/>
      <c r="EI13" s="77"/>
      <c r="EJ13" s="77"/>
      <c r="EK13" s="77"/>
      <c r="EL13" s="77"/>
      <c r="EM13" s="77"/>
      <c r="EN13" s="77"/>
      <c r="EO13" s="77"/>
      <c r="EP13" s="77"/>
      <c r="EQ13" s="77"/>
      <c r="ER13" s="77"/>
      <c r="ES13" s="77"/>
      <c r="ET13" s="77"/>
      <c r="EU13" s="77"/>
      <c r="EV13" s="77"/>
      <c r="EW13" s="77"/>
      <c r="EX13" s="77"/>
      <c r="EY13" s="77"/>
      <c r="EZ13" s="77"/>
      <c r="FA13" s="77"/>
      <c r="FB13" s="77"/>
      <c r="FC13" s="77"/>
      <c r="FD13" s="77"/>
      <c r="FE13" s="77"/>
      <c r="FF13" s="77"/>
      <c r="FG13" s="77"/>
      <c r="FH13" s="77"/>
      <c r="FI13" s="77"/>
      <c r="FJ13" s="77"/>
      <c r="FK13" s="77"/>
      <c r="FL13" s="77"/>
      <c r="FM13" s="77"/>
      <c r="FN13" s="77"/>
      <c r="FO13" s="77"/>
      <c r="FP13" s="77"/>
      <c r="FQ13" s="77"/>
      <c r="FR13" s="77"/>
      <c r="FS13" s="77"/>
      <c r="FT13" s="77"/>
      <c r="FU13" s="77"/>
      <c r="FV13" s="77"/>
      <c r="FW13" s="77"/>
      <c r="FX13" s="77"/>
      <c r="FY13" s="77"/>
      <c r="FZ13" s="77"/>
      <c r="GA13" s="77"/>
      <c r="GB13" s="77"/>
      <c r="GC13" s="77"/>
      <c r="GD13" s="77"/>
      <c r="GE13" s="77"/>
      <c r="GF13" s="77"/>
      <c r="GG13" s="77"/>
      <c r="GH13" s="77"/>
      <c r="GI13" s="77"/>
      <c r="GJ13" s="77"/>
      <c r="GK13" s="77"/>
      <c r="GL13" s="77"/>
      <c r="GM13" s="77"/>
      <c r="GN13" s="77"/>
      <c r="GO13" s="77"/>
      <c r="GP13" s="77"/>
      <c r="GQ13" s="77"/>
      <c r="GR13" s="77"/>
      <c r="GS13" s="77"/>
      <c r="GT13" s="77"/>
      <c r="GU13" s="77"/>
      <c r="GV13" s="77"/>
      <c r="GW13" s="77"/>
      <c r="GX13" s="77"/>
      <c r="GY13" s="77"/>
      <c r="GZ13" s="77"/>
      <c r="HA13" s="77"/>
      <c r="HB13" s="77"/>
      <c r="HC13" s="77"/>
      <c r="HD13" s="77"/>
      <c r="HE13" s="77"/>
      <c r="HF13" s="77"/>
      <c r="HG13" s="77"/>
      <c r="HH13" s="77"/>
      <c r="HI13" s="77"/>
      <c r="HJ13" s="77"/>
      <c r="HK13" s="77"/>
      <c r="HL13" s="77"/>
      <c r="HM13" s="77"/>
      <c r="HN13" s="77"/>
      <c r="HO13" s="77"/>
      <c r="HP13" s="77"/>
      <c r="HQ13" s="77"/>
      <c r="HR13" s="77"/>
      <c r="HS13" s="77"/>
      <c r="HT13" s="77"/>
      <c r="HU13" s="77"/>
      <c r="HV13" s="77"/>
      <c r="HW13" s="77"/>
      <c r="HX13" s="77"/>
      <c r="HY13" s="77"/>
      <c r="HZ13" s="77"/>
      <c r="IA13" s="77"/>
      <c r="IB13" s="77"/>
      <c r="IC13" s="77"/>
      <c r="ID13" s="77"/>
      <c r="IE13" s="77"/>
      <c r="IF13" s="77"/>
      <c r="IG13" s="77"/>
      <c r="IH13" s="77"/>
      <c r="II13" s="77"/>
      <c r="IJ13" s="77"/>
      <c r="IK13" s="77"/>
    </row>
    <row r="14" spans="1:245">
      <c r="A14" s="368"/>
      <c r="B14" s="372"/>
      <c r="C14" s="115"/>
      <c r="D14" s="116"/>
      <c r="E14" s="116"/>
      <c r="F14" s="119"/>
      <c r="G14" s="188"/>
      <c r="H14" s="180"/>
      <c r="I14" s="181"/>
      <c r="J14" s="384"/>
      <c r="K14" s="134"/>
      <c r="L14" s="134"/>
      <c r="M14" s="135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77"/>
      <c r="BA14" s="77"/>
      <c r="BB14" s="77"/>
      <c r="BC14" s="77"/>
      <c r="BD14" s="77"/>
      <c r="BE14" s="77"/>
      <c r="BF14" s="77"/>
      <c r="BG14" s="77"/>
      <c r="BH14" s="77"/>
      <c r="BI14" s="77"/>
      <c r="BJ14" s="77"/>
      <c r="BK14" s="77"/>
      <c r="BL14" s="77"/>
      <c r="BM14" s="77"/>
      <c r="BN14" s="77"/>
      <c r="BO14" s="77"/>
      <c r="BP14" s="77"/>
      <c r="BQ14" s="77"/>
      <c r="BR14" s="77"/>
      <c r="BS14" s="77"/>
      <c r="BT14" s="77"/>
      <c r="BU14" s="77"/>
      <c r="BV14" s="77"/>
      <c r="BW14" s="77"/>
      <c r="BX14" s="77"/>
      <c r="BY14" s="77"/>
      <c r="BZ14" s="77"/>
      <c r="CA14" s="77"/>
      <c r="CB14" s="77"/>
      <c r="CC14" s="77"/>
      <c r="CD14" s="77"/>
      <c r="CE14" s="77"/>
      <c r="CF14" s="77"/>
      <c r="CG14" s="77"/>
      <c r="CH14" s="77"/>
      <c r="CI14" s="77"/>
      <c r="CJ14" s="77"/>
      <c r="CK14" s="77"/>
      <c r="CL14" s="77"/>
      <c r="CM14" s="77"/>
      <c r="CN14" s="77"/>
      <c r="CO14" s="77"/>
      <c r="CP14" s="77"/>
      <c r="CQ14" s="77"/>
      <c r="CR14" s="77"/>
      <c r="CS14" s="77"/>
      <c r="CT14" s="77"/>
      <c r="CU14" s="77"/>
      <c r="CV14" s="77"/>
      <c r="CW14" s="77"/>
      <c r="CX14" s="77"/>
      <c r="CY14" s="77"/>
      <c r="CZ14" s="77"/>
      <c r="DA14" s="77"/>
      <c r="DB14" s="77"/>
      <c r="DC14" s="77"/>
      <c r="DD14" s="77"/>
      <c r="DE14" s="77"/>
      <c r="DF14" s="77"/>
      <c r="DG14" s="77"/>
      <c r="DH14" s="77"/>
      <c r="DI14" s="77"/>
      <c r="DJ14" s="77"/>
      <c r="DK14" s="77"/>
      <c r="DL14" s="77"/>
      <c r="DM14" s="77"/>
      <c r="DN14" s="77"/>
      <c r="DO14" s="77"/>
      <c r="DP14" s="77"/>
      <c r="DQ14" s="77"/>
      <c r="DR14" s="77"/>
      <c r="DS14" s="77"/>
      <c r="DT14" s="77"/>
      <c r="DU14" s="77"/>
      <c r="DV14" s="77"/>
      <c r="DW14" s="77"/>
      <c r="DX14" s="77"/>
      <c r="DY14" s="77"/>
      <c r="DZ14" s="77"/>
      <c r="EA14" s="77"/>
      <c r="EB14" s="77"/>
      <c r="EC14" s="77"/>
      <c r="ED14" s="77"/>
      <c r="EE14" s="77"/>
      <c r="EF14" s="77"/>
      <c r="EG14" s="77"/>
      <c r="EH14" s="77"/>
      <c r="EI14" s="77"/>
      <c r="EJ14" s="77"/>
      <c r="EK14" s="77"/>
      <c r="EL14" s="77"/>
      <c r="EM14" s="77"/>
      <c r="EN14" s="77"/>
      <c r="EO14" s="77"/>
      <c r="EP14" s="77"/>
      <c r="EQ14" s="77"/>
      <c r="ER14" s="77"/>
      <c r="ES14" s="77"/>
      <c r="ET14" s="77"/>
      <c r="EU14" s="77"/>
      <c r="EV14" s="77"/>
      <c r="EW14" s="77"/>
      <c r="EX14" s="77"/>
      <c r="EY14" s="77"/>
      <c r="EZ14" s="77"/>
      <c r="FA14" s="77"/>
      <c r="FB14" s="77"/>
      <c r="FC14" s="77"/>
      <c r="FD14" s="77"/>
      <c r="FE14" s="77"/>
      <c r="FF14" s="77"/>
      <c r="FG14" s="77"/>
      <c r="FH14" s="77"/>
      <c r="FI14" s="77"/>
      <c r="FJ14" s="77"/>
      <c r="FK14" s="77"/>
      <c r="FL14" s="77"/>
      <c r="FM14" s="77"/>
      <c r="FN14" s="77"/>
      <c r="FO14" s="77"/>
      <c r="FP14" s="77"/>
      <c r="FQ14" s="77"/>
      <c r="FR14" s="77"/>
      <c r="FS14" s="77"/>
      <c r="FT14" s="77"/>
      <c r="FU14" s="77"/>
      <c r="FV14" s="77"/>
      <c r="FW14" s="77"/>
      <c r="FX14" s="77"/>
      <c r="FY14" s="77"/>
      <c r="FZ14" s="77"/>
      <c r="GA14" s="77"/>
      <c r="GB14" s="77"/>
      <c r="GC14" s="77"/>
      <c r="GD14" s="77"/>
      <c r="GE14" s="77"/>
      <c r="GF14" s="77"/>
      <c r="GG14" s="77"/>
      <c r="GH14" s="77"/>
      <c r="GI14" s="77"/>
      <c r="GJ14" s="77"/>
      <c r="GK14" s="77"/>
      <c r="GL14" s="77"/>
      <c r="GM14" s="77"/>
      <c r="GN14" s="77"/>
      <c r="GO14" s="77"/>
      <c r="GP14" s="77"/>
      <c r="GQ14" s="77"/>
      <c r="GR14" s="77"/>
      <c r="GS14" s="77"/>
      <c r="GT14" s="77"/>
      <c r="GU14" s="77"/>
      <c r="GV14" s="77"/>
      <c r="GW14" s="77"/>
      <c r="GX14" s="77"/>
      <c r="GY14" s="77"/>
      <c r="GZ14" s="77"/>
      <c r="HA14" s="77"/>
      <c r="HB14" s="77"/>
      <c r="HC14" s="77"/>
      <c r="HD14" s="77"/>
      <c r="HE14" s="77"/>
      <c r="HF14" s="77"/>
      <c r="HG14" s="77"/>
      <c r="HH14" s="77"/>
      <c r="HI14" s="77"/>
      <c r="HJ14" s="77"/>
      <c r="HK14" s="77"/>
      <c r="HL14" s="77"/>
      <c r="HM14" s="77"/>
      <c r="HN14" s="77"/>
      <c r="HO14" s="77"/>
      <c r="HP14" s="77"/>
      <c r="HQ14" s="77"/>
      <c r="HR14" s="77"/>
      <c r="HS14" s="77"/>
      <c r="HT14" s="77"/>
      <c r="HU14" s="77"/>
      <c r="HV14" s="77"/>
      <c r="HW14" s="77"/>
      <c r="HX14" s="77"/>
      <c r="HY14" s="77"/>
      <c r="HZ14" s="77"/>
      <c r="IA14" s="77"/>
      <c r="IB14" s="77"/>
      <c r="IC14" s="77"/>
      <c r="ID14" s="77"/>
      <c r="IE14" s="77"/>
      <c r="IF14" s="77"/>
      <c r="IG14" s="77"/>
      <c r="IH14" s="77"/>
      <c r="II14" s="77"/>
      <c r="IJ14" s="77"/>
      <c r="IK14" s="77"/>
    </row>
    <row r="15" spans="1:245" ht="22.5" thickBot="1">
      <c r="A15" s="369"/>
      <c r="B15" s="375"/>
      <c r="C15" s="120"/>
      <c r="D15" s="121"/>
      <c r="E15" s="121"/>
      <c r="F15" s="122"/>
      <c r="G15" s="190"/>
      <c r="H15" s="191"/>
      <c r="I15" s="363"/>
      <c r="J15" s="385"/>
      <c r="K15" s="136"/>
      <c r="L15" s="136"/>
      <c r="M15" s="13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77"/>
      <c r="BA15" s="77"/>
      <c r="BB15" s="77"/>
      <c r="BC15" s="77"/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77"/>
      <c r="BP15" s="77"/>
      <c r="BQ15" s="77"/>
      <c r="BR15" s="77"/>
      <c r="BS15" s="77"/>
      <c r="BT15" s="77"/>
      <c r="BU15" s="77"/>
      <c r="BV15" s="77"/>
      <c r="BW15" s="77"/>
      <c r="BX15" s="77"/>
      <c r="BY15" s="77"/>
      <c r="BZ15" s="77"/>
      <c r="CA15" s="77"/>
      <c r="CB15" s="77"/>
      <c r="CC15" s="77"/>
      <c r="CD15" s="77"/>
      <c r="CE15" s="77"/>
      <c r="CF15" s="77"/>
      <c r="CG15" s="77"/>
      <c r="CH15" s="77"/>
      <c r="CI15" s="77"/>
      <c r="CJ15" s="77"/>
      <c r="CK15" s="77"/>
      <c r="CL15" s="77"/>
      <c r="CM15" s="77"/>
      <c r="CN15" s="77"/>
      <c r="CO15" s="77"/>
      <c r="CP15" s="77"/>
      <c r="CQ15" s="77"/>
      <c r="CR15" s="77"/>
      <c r="CS15" s="77"/>
      <c r="CT15" s="77"/>
      <c r="CU15" s="77"/>
      <c r="CV15" s="77"/>
      <c r="CW15" s="77"/>
      <c r="CX15" s="77"/>
      <c r="CY15" s="77"/>
      <c r="CZ15" s="77"/>
      <c r="DA15" s="77"/>
      <c r="DB15" s="77"/>
      <c r="DC15" s="77"/>
      <c r="DD15" s="77"/>
      <c r="DE15" s="77"/>
      <c r="DF15" s="77"/>
      <c r="DG15" s="77"/>
      <c r="DH15" s="77"/>
      <c r="DI15" s="77"/>
      <c r="DJ15" s="77"/>
      <c r="DK15" s="77"/>
      <c r="DL15" s="77"/>
      <c r="DM15" s="77"/>
      <c r="DN15" s="77"/>
      <c r="DO15" s="77"/>
      <c r="DP15" s="77"/>
      <c r="DQ15" s="77"/>
      <c r="DR15" s="77"/>
      <c r="DS15" s="77"/>
      <c r="DT15" s="77"/>
      <c r="DU15" s="77"/>
      <c r="DV15" s="77"/>
      <c r="DW15" s="77"/>
      <c r="DX15" s="77"/>
      <c r="DY15" s="77"/>
      <c r="DZ15" s="77"/>
      <c r="EA15" s="77"/>
      <c r="EB15" s="77"/>
      <c r="EC15" s="77"/>
      <c r="ED15" s="77"/>
      <c r="EE15" s="77"/>
      <c r="EF15" s="77"/>
      <c r="EG15" s="77"/>
      <c r="EH15" s="77"/>
      <c r="EI15" s="77"/>
      <c r="EJ15" s="77"/>
      <c r="EK15" s="77"/>
      <c r="EL15" s="77"/>
      <c r="EM15" s="77"/>
      <c r="EN15" s="77"/>
      <c r="EO15" s="77"/>
      <c r="EP15" s="77"/>
      <c r="EQ15" s="77"/>
      <c r="ER15" s="77"/>
      <c r="ES15" s="77"/>
      <c r="ET15" s="77"/>
      <c r="EU15" s="77"/>
      <c r="EV15" s="77"/>
      <c r="EW15" s="77"/>
      <c r="EX15" s="77"/>
      <c r="EY15" s="77"/>
      <c r="EZ15" s="77"/>
      <c r="FA15" s="77"/>
      <c r="FB15" s="77"/>
      <c r="FC15" s="77"/>
      <c r="FD15" s="77"/>
      <c r="FE15" s="77"/>
      <c r="FF15" s="77"/>
      <c r="FG15" s="77"/>
      <c r="FH15" s="77"/>
      <c r="FI15" s="77"/>
      <c r="FJ15" s="77"/>
      <c r="FK15" s="77"/>
      <c r="FL15" s="77"/>
      <c r="FM15" s="77"/>
      <c r="FN15" s="77"/>
      <c r="FO15" s="77"/>
      <c r="FP15" s="77"/>
      <c r="FQ15" s="77"/>
      <c r="FR15" s="77"/>
      <c r="FS15" s="77"/>
      <c r="FT15" s="77"/>
      <c r="FU15" s="77"/>
      <c r="FV15" s="77"/>
      <c r="FW15" s="77"/>
      <c r="FX15" s="77"/>
      <c r="FY15" s="77"/>
      <c r="FZ15" s="77"/>
      <c r="GA15" s="77"/>
      <c r="GB15" s="77"/>
      <c r="GC15" s="77"/>
      <c r="GD15" s="77"/>
      <c r="GE15" s="77"/>
      <c r="GF15" s="77"/>
      <c r="GG15" s="77"/>
      <c r="GH15" s="77"/>
      <c r="GI15" s="77"/>
      <c r="GJ15" s="77"/>
      <c r="GK15" s="77"/>
      <c r="GL15" s="77"/>
      <c r="GM15" s="77"/>
      <c r="GN15" s="77"/>
      <c r="GO15" s="77"/>
      <c r="GP15" s="77"/>
      <c r="GQ15" s="77"/>
      <c r="GR15" s="77"/>
      <c r="GS15" s="77"/>
      <c r="GT15" s="77"/>
      <c r="GU15" s="77"/>
      <c r="GV15" s="77"/>
      <c r="GW15" s="77"/>
      <c r="GX15" s="77"/>
      <c r="GY15" s="77"/>
      <c r="GZ15" s="77"/>
      <c r="HA15" s="77"/>
      <c r="HB15" s="77"/>
      <c r="HC15" s="77"/>
      <c r="HD15" s="77"/>
      <c r="HE15" s="77"/>
      <c r="HF15" s="77"/>
      <c r="HG15" s="77"/>
      <c r="HH15" s="77"/>
      <c r="HI15" s="77"/>
      <c r="HJ15" s="77"/>
      <c r="HK15" s="77"/>
      <c r="HL15" s="77"/>
      <c r="HM15" s="77"/>
      <c r="HN15" s="77"/>
      <c r="HO15" s="77"/>
      <c r="HP15" s="77"/>
      <c r="HQ15" s="77"/>
      <c r="HR15" s="77"/>
      <c r="HS15" s="77"/>
      <c r="HT15" s="77"/>
      <c r="HU15" s="77"/>
      <c r="HV15" s="77"/>
      <c r="HW15" s="77"/>
      <c r="HX15" s="77"/>
      <c r="HY15" s="77"/>
      <c r="HZ15" s="77"/>
      <c r="IA15" s="77"/>
      <c r="IB15" s="77"/>
      <c r="IC15" s="77"/>
      <c r="ID15" s="77"/>
      <c r="IE15" s="77"/>
      <c r="IF15" s="77"/>
      <c r="IG15" s="77"/>
      <c r="IH15" s="77"/>
      <c r="II15" s="77"/>
      <c r="IJ15" s="77"/>
      <c r="IK15" s="77"/>
    </row>
    <row r="16" spans="1:245" s="77" customFormat="1" ht="25.5">
      <c r="H16" s="693"/>
    </row>
    <row r="17" spans="8:8" s="77" customFormat="1" ht="30.75">
      <c r="H17" s="692"/>
    </row>
    <row r="18" spans="8:8" s="77" customFormat="1"/>
    <row r="19" spans="8:8" s="77" customFormat="1"/>
    <row r="20" spans="8:8" s="77" customFormat="1"/>
    <row r="21" spans="8:8" s="77" customFormat="1"/>
    <row r="22" spans="8:8" s="77" customFormat="1"/>
    <row r="23" spans="8:8" s="77" customFormat="1"/>
    <row r="24" spans="8:8" s="77" customFormat="1"/>
    <row r="25" spans="8:8" s="77" customFormat="1"/>
    <row r="26" spans="8:8" s="77" customFormat="1"/>
    <row r="27" spans="8:8" s="77" customFormat="1"/>
    <row r="28" spans="8:8" s="77" customFormat="1"/>
    <row r="29" spans="8:8" s="77" customFormat="1"/>
  </sheetData>
  <phoneticPr fontId="27" type="noConversion"/>
  <pageMargins left="0.75" right="0.75" top="1" bottom="1" header="0.5" footer="0.5"/>
  <pageSetup paperSize="9" orientation="portrait" horizontalDpi="4294967293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6" enableFormatConditionsCalculation="0">
    <tabColor indexed="10"/>
    <pageSetUpPr fitToPage="1"/>
  </sheetPr>
  <dimension ref="A1:E42"/>
  <sheetViews>
    <sheetView topLeftCell="A4" workbookViewId="0">
      <selection activeCell="H16" sqref="H16"/>
    </sheetView>
  </sheetViews>
  <sheetFormatPr defaultRowHeight="23.25"/>
  <cols>
    <col min="1" max="1" width="5.28515625" style="442" customWidth="1"/>
    <col min="2" max="2" width="4.28515625" style="443" customWidth="1"/>
    <col min="3" max="3" width="108" style="444" customWidth="1"/>
    <col min="4" max="4" width="9.140625" style="418"/>
  </cols>
  <sheetData>
    <row r="1" spans="1:5">
      <c r="A1" s="696" t="s">
        <v>532</v>
      </c>
      <c r="B1" s="697"/>
      <c r="C1" s="698"/>
      <c r="D1" s="699"/>
      <c r="E1" s="699"/>
    </row>
    <row r="2" spans="1:5">
      <c r="A2" s="438"/>
      <c r="B2" s="439">
        <v>1</v>
      </c>
      <c r="C2" s="700" t="s">
        <v>523</v>
      </c>
      <c r="D2" s="441"/>
      <c r="E2" s="701"/>
    </row>
    <row r="3" spans="1:5">
      <c r="A3" s="438"/>
      <c r="B3" s="439"/>
      <c r="C3" s="700" t="s">
        <v>524</v>
      </c>
      <c r="D3" s="441"/>
      <c r="E3" s="701"/>
    </row>
    <row r="4" spans="1:5">
      <c r="A4" s="438"/>
      <c r="B4" s="439"/>
      <c r="C4" s="702" t="s">
        <v>529</v>
      </c>
      <c r="D4" s="441"/>
      <c r="E4" s="701"/>
    </row>
    <row r="5" spans="1:5">
      <c r="A5" s="438"/>
      <c r="B5" s="439"/>
      <c r="C5" s="700" t="s">
        <v>525</v>
      </c>
      <c r="D5" s="441"/>
      <c r="E5" s="701"/>
    </row>
    <row r="6" spans="1:5">
      <c r="A6" s="438"/>
      <c r="B6" s="439"/>
      <c r="C6" s="702" t="s">
        <v>530</v>
      </c>
      <c r="D6" s="441"/>
      <c r="E6" s="701"/>
    </row>
    <row r="7" spans="1:5">
      <c r="A7" s="438"/>
      <c r="B7" s="439"/>
      <c r="C7" s="700" t="s">
        <v>526</v>
      </c>
      <c r="D7" s="441"/>
      <c r="E7" s="701"/>
    </row>
    <row r="8" spans="1:5">
      <c r="A8" s="438"/>
      <c r="B8" s="439"/>
      <c r="C8" s="702" t="s">
        <v>531</v>
      </c>
      <c r="D8" s="441"/>
      <c r="E8" s="701"/>
    </row>
    <row r="9" spans="1:5">
      <c r="A9" s="438"/>
      <c r="B9" s="439"/>
      <c r="C9" s="700" t="s">
        <v>527</v>
      </c>
      <c r="D9" s="441"/>
      <c r="E9" s="701"/>
    </row>
    <row r="10" spans="1:5">
      <c r="A10" s="438"/>
      <c r="B10" s="439">
        <v>2</v>
      </c>
      <c r="C10" s="702" t="s">
        <v>528</v>
      </c>
      <c r="D10" s="441"/>
      <c r="E10" s="701"/>
    </row>
    <row r="11" spans="1:5" s="81" customFormat="1">
      <c r="A11" s="438" t="s">
        <v>316</v>
      </c>
      <c r="B11" s="439"/>
      <c r="C11" s="440"/>
      <c r="D11" s="441"/>
      <c r="E11" s="80"/>
    </row>
    <row r="12" spans="1:5" s="81" customFormat="1">
      <c r="A12" s="438"/>
      <c r="B12" s="439">
        <v>1</v>
      </c>
      <c r="C12" s="440" t="s">
        <v>341</v>
      </c>
      <c r="D12" s="441"/>
      <c r="E12" s="80"/>
    </row>
    <row r="13" spans="1:5" s="81" customFormat="1" ht="45">
      <c r="A13" s="438"/>
      <c r="B13" s="439">
        <v>2</v>
      </c>
      <c r="C13" s="440" t="s">
        <v>533</v>
      </c>
      <c r="D13" s="441"/>
      <c r="E13" s="80"/>
    </row>
    <row r="14" spans="1:5" s="81" customFormat="1" ht="45">
      <c r="A14" s="438"/>
      <c r="B14" s="439">
        <v>3</v>
      </c>
      <c r="C14" s="440" t="s">
        <v>342</v>
      </c>
      <c r="D14" s="441"/>
      <c r="E14" s="80"/>
    </row>
    <row r="15" spans="1:5" s="81" customFormat="1" ht="45">
      <c r="A15" s="438"/>
      <c r="B15" s="439">
        <v>4</v>
      </c>
      <c r="C15" s="440" t="s">
        <v>343</v>
      </c>
      <c r="D15" s="441"/>
      <c r="E15" s="80"/>
    </row>
    <row r="16" spans="1:5" s="81" customFormat="1" ht="45">
      <c r="A16" s="438"/>
      <c r="B16" s="439">
        <v>5</v>
      </c>
      <c r="C16" s="440" t="s">
        <v>422</v>
      </c>
      <c r="D16" s="441"/>
      <c r="E16" s="80"/>
    </row>
    <row r="17" spans="1:5" s="81" customFormat="1" ht="45">
      <c r="A17" s="438"/>
      <c r="B17" s="439">
        <v>6</v>
      </c>
      <c r="C17" s="440" t="s">
        <v>423</v>
      </c>
      <c r="D17" s="441"/>
      <c r="E17" s="80"/>
    </row>
    <row r="18" spans="1:5" s="81" customFormat="1" ht="45">
      <c r="A18" s="438"/>
      <c r="B18" s="439">
        <v>7</v>
      </c>
      <c r="C18" s="440" t="s">
        <v>460</v>
      </c>
      <c r="D18" s="441"/>
      <c r="E18" s="80"/>
    </row>
    <row r="19" spans="1:5" s="81" customFormat="1">
      <c r="A19" s="438"/>
      <c r="B19" s="439">
        <v>8</v>
      </c>
      <c r="C19" s="440" t="s">
        <v>344</v>
      </c>
      <c r="D19" s="441"/>
      <c r="E19" s="80"/>
    </row>
    <row r="20" spans="1:5" s="81" customFormat="1" ht="45">
      <c r="A20" s="438"/>
      <c r="B20" s="439">
        <v>9</v>
      </c>
      <c r="C20" s="440" t="s">
        <v>345</v>
      </c>
      <c r="D20" s="441"/>
      <c r="E20" s="80"/>
    </row>
    <row r="21" spans="1:5" s="81" customFormat="1">
      <c r="A21" s="438"/>
      <c r="B21" s="439"/>
      <c r="C21" s="440"/>
      <c r="D21" s="441"/>
      <c r="E21" s="80"/>
    </row>
    <row r="22" spans="1:5" s="81" customFormat="1">
      <c r="A22" s="438" t="s">
        <v>318</v>
      </c>
      <c r="B22" s="439"/>
      <c r="C22" s="440"/>
      <c r="D22" s="441"/>
      <c r="E22" s="80"/>
    </row>
    <row r="23" spans="1:5" s="81" customFormat="1">
      <c r="A23" s="438"/>
      <c r="B23" s="439">
        <v>1</v>
      </c>
      <c r="C23" s="440" t="s">
        <v>346</v>
      </c>
      <c r="D23" s="441"/>
      <c r="E23" s="80"/>
    </row>
    <row r="24" spans="1:5" s="81" customFormat="1" ht="24" customHeight="1">
      <c r="A24" s="438"/>
      <c r="B24" s="439">
        <v>2</v>
      </c>
      <c r="C24" s="440" t="s">
        <v>357</v>
      </c>
      <c r="D24" s="441"/>
      <c r="E24" s="80"/>
    </row>
    <row r="25" spans="1:5" s="81" customFormat="1">
      <c r="A25" s="438"/>
      <c r="B25" s="439">
        <v>3</v>
      </c>
      <c r="C25" s="440" t="s">
        <v>347</v>
      </c>
      <c r="D25" s="441"/>
      <c r="E25" s="80"/>
    </row>
    <row r="26" spans="1:5" s="81" customFormat="1" ht="45">
      <c r="A26" s="438"/>
      <c r="B26" s="439">
        <v>4</v>
      </c>
      <c r="C26" s="440" t="s">
        <v>356</v>
      </c>
      <c r="D26" s="441"/>
      <c r="E26" s="80"/>
    </row>
    <row r="27" spans="1:5" s="81" customFormat="1">
      <c r="A27" s="438"/>
      <c r="B27" s="439">
        <v>5</v>
      </c>
      <c r="C27" s="440" t="s">
        <v>367</v>
      </c>
      <c r="D27" s="441"/>
      <c r="E27" s="80"/>
    </row>
    <row r="28" spans="1:5" s="81" customFormat="1">
      <c r="A28" s="438"/>
      <c r="B28" s="439">
        <v>6</v>
      </c>
      <c r="C28" s="440" t="s">
        <v>348</v>
      </c>
      <c r="D28" s="441"/>
      <c r="E28" s="80"/>
    </row>
    <row r="29" spans="1:5" s="81" customFormat="1">
      <c r="A29" s="438"/>
      <c r="B29" s="439"/>
      <c r="C29" s="440"/>
      <c r="D29" s="441"/>
      <c r="E29" s="80"/>
    </row>
    <row r="30" spans="1:5" s="81" customFormat="1">
      <c r="A30" s="438" t="s">
        <v>317</v>
      </c>
      <c r="B30" s="439"/>
      <c r="C30" s="440"/>
      <c r="D30" s="441"/>
      <c r="E30" s="80"/>
    </row>
    <row r="31" spans="1:5" s="81" customFormat="1" ht="45">
      <c r="A31" s="438"/>
      <c r="B31" s="439">
        <v>1</v>
      </c>
      <c r="C31" s="440" t="s">
        <v>462</v>
      </c>
      <c r="D31" s="441"/>
      <c r="E31" s="80"/>
    </row>
    <row r="32" spans="1:5" s="81" customFormat="1" ht="45">
      <c r="A32" s="438"/>
      <c r="B32" s="439">
        <v>2</v>
      </c>
      <c r="C32" s="440" t="s">
        <v>349</v>
      </c>
      <c r="D32" s="441"/>
      <c r="E32" s="80"/>
    </row>
    <row r="33" spans="1:5" s="81" customFormat="1">
      <c r="A33" s="438"/>
      <c r="B33" s="439">
        <v>3</v>
      </c>
      <c r="C33" s="440" t="s">
        <v>363</v>
      </c>
      <c r="D33" s="441"/>
      <c r="E33" s="80"/>
    </row>
    <row r="34" spans="1:5" s="81" customFormat="1" ht="45">
      <c r="A34" s="438"/>
      <c r="B34" s="439">
        <v>4</v>
      </c>
      <c r="C34" s="440" t="s">
        <v>364</v>
      </c>
      <c r="D34" s="441"/>
      <c r="E34" s="80"/>
    </row>
    <row r="35" spans="1:5" s="81" customFormat="1" ht="45">
      <c r="A35" s="438"/>
      <c r="B35" s="439">
        <v>5</v>
      </c>
      <c r="C35" s="440" t="s">
        <v>350</v>
      </c>
      <c r="D35" s="441"/>
      <c r="E35" s="80"/>
    </row>
    <row r="36" spans="1:5" s="81" customFormat="1" ht="45">
      <c r="A36" s="438"/>
      <c r="B36" s="439">
        <v>6</v>
      </c>
      <c r="C36" s="440" t="s">
        <v>354</v>
      </c>
      <c r="D36" s="441"/>
      <c r="E36" s="80"/>
    </row>
    <row r="37" spans="1:5" s="81" customFormat="1" ht="45">
      <c r="A37" s="438"/>
      <c r="B37" s="439">
        <v>7</v>
      </c>
      <c r="C37" s="440" t="s">
        <v>355</v>
      </c>
      <c r="D37" s="441"/>
      <c r="E37" s="80"/>
    </row>
    <row r="38" spans="1:5" s="81" customFormat="1" ht="51" customHeight="1">
      <c r="A38" s="438"/>
      <c r="B38" s="439">
        <v>8</v>
      </c>
      <c r="C38" s="440" t="s">
        <v>461</v>
      </c>
      <c r="D38" s="441"/>
      <c r="E38" s="80"/>
    </row>
    <row r="39" spans="1:5" s="81" customFormat="1" ht="46.5" customHeight="1">
      <c r="A39" s="438"/>
      <c r="B39" s="439">
        <v>9</v>
      </c>
      <c r="C39" s="440" t="s">
        <v>424</v>
      </c>
      <c r="D39" s="441"/>
      <c r="E39" s="80"/>
    </row>
    <row r="40" spans="1:5" s="81" customFormat="1">
      <c r="A40" s="438"/>
      <c r="B40" s="439">
        <v>10</v>
      </c>
      <c r="C40" s="440" t="s">
        <v>351</v>
      </c>
      <c r="D40" s="441"/>
      <c r="E40" s="80"/>
    </row>
    <row r="41" spans="1:5" s="81" customFormat="1">
      <c r="A41" s="438"/>
      <c r="B41" s="439">
        <v>11</v>
      </c>
      <c r="C41" s="440" t="s">
        <v>352</v>
      </c>
      <c r="D41" s="441"/>
      <c r="E41" s="80"/>
    </row>
    <row r="42" spans="1:5" ht="21.75">
      <c r="A42" s="703"/>
      <c r="B42" s="703"/>
      <c r="C42" s="703"/>
      <c r="D42" s="703"/>
      <c r="E42" s="703"/>
    </row>
  </sheetData>
  <phoneticPr fontId="27" type="noConversion"/>
  <pageMargins left="0.75" right="0.35" top="1" bottom="1" header="0.5" footer="0.5"/>
  <pageSetup paperSize="9" scale="70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1" enableFormatConditionsCalculation="0">
    <tabColor indexed="10"/>
  </sheetPr>
  <dimension ref="A1:AL180"/>
  <sheetViews>
    <sheetView workbookViewId="0">
      <selection activeCell="C31" sqref="C31"/>
    </sheetView>
  </sheetViews>
  <sheetFormatPr defaultRowHeight="15"/>
  <cols>
    <col min="1" max="1" width="7.42578125" style="564" bestFit="1" customWidth="1"/>
    <col min="2" max="2" width="38.7109375" style="564" bestFit="1" customWidth="1"/>
    <col min="3" max="3" width="57.7109375" style="564" customWidth="1"/>
    <col min="4" max="4" width="9.5703125" style="560" customWidth="1"/>
    <col min="5" max="5" width="6" style="564" customWidth="1"/>
    <col min="6" max="6" width="14.7109375" style="564" customWidth="1"/>
    <col min="7" max="7" width="13.140625" style="564" bestFit="1" customWidth="1"/>
    <col min="8" max="8" width="12.85546875" style="564" bestFit="1" customWidth="1"/>
    <col min="9" max="9" width="11.5703125" style="564" bestFit="1" customWidth="1"/>
    <col min="10" max="10" width="11.140625" style="564" bestFit="1" customWidth="1"/>
    <col min="11" max="11" width="9.28515625" style="564" bestFit="1" customWidth="1"/>
    <col min="12" max="12" width="16.140625" style="564" bestFit="1" customWidth="1"/>
    <col min="13" max="13" width="14.28515625" style="564" bestFit="1" customWidth="1"/>
    <col min="14" max="14" width="12.85546875" style="564" bestFit="1" customWidth="1"/>
    <col min="15" max="16" width="9.28515625" style="564" bestFit="1" customWidth="1"/>
    <col min="17" max="17" width="14.28515625" style="564" bestFit="1" customWidth="1"/>
    <col min="18" max="18" width="16.140625" style="564" bestFit="1" customWidth="1"/>
    <col min="19" max="19" width="9.140625" style="564"/>
    <col min="20" max="20" width="9.85546875" style="564" customWidth="1"/>
    <col min="21" max="30" width="9.140625" style="564"/>
    <col min="31" max="31" width="14.140625" style="564" bestFit="1" customWidth="1"/>
    <col min="32" max="32" width="10.28515625" style="564" bestFit="1" customWidth="1"/>
    <col min="33" max="33" width="9.28515625" style="564" bestFit="1" customWidth="1"/>
    <col min="34" max="16384" width="9.140625" style="564"/>
  </cols>
  <sheetData>
    <row r="1" spans="1:4" s="561" customFormat="1">
      <c r="A1" s="559" t="s">
        <v>50</v>
      </c>
      <c r="B1" s="559" t="s">
        <v>174</v>
      </c>
      <c r="C1" s="559" t="s">
        <v>175</v>
      </c>
      <c r="D1" s="560"/>
    </row>
    <row r="2" spans="1:4">
      <c r="A2" s="562">
        <v>1</v>
      </c>
      <c r="B2" s="562" t="s">
        <v>224</v>
      </c>
      <c r="C2" s="563" t="s">
        <v>546</v>
      </c>
    </row>
    <row r="3" spans="1:4">
      <c r="A3" s="562">
        <v>2</v>
      </c>
      <c r="B3" s="562" t="s">
        <v>225</v>
      </c>
      <c r="C3" s="563"/>
    </row>
    <row r="4" spans="1:4">
      <c r="A4" s="562">
        <v>3</v>
      </c>
      <c r="B4" s="562" t="s">
        <v>81</v>
      </c>
      <c r="C4" s="565" t="s">
        <v>547</v>
      </c>
    </row>
    <row r="5" spans="1:4">
      <c r="A5" s="562">
        <v>4</v>
      </c>
      <c r="B5" s="562" t="s">
        <v>79</v>
      </c>
      <c r="C5" s="704" t="s">
        <v>534</v>
      </c>
    </row>
    <row r="6" spans="1:4">
      <c r="A6" s="562">
        <v>5</v>
      </c>
      <c r="B6" s="562" t="s">
        <v>176</v>
      </c>
      <c r="C6" s="566">
        <v>1234567890</v>
      </c>
    </row>
    <row r="7" spans="1:4">
      <c r="A7" s="562">
        <v>6</v>
      </c>
      <c r="B7" s="562" t="s">
        <v>319</v>
      </c>
      <c r="C7" s="563" t="s">
        <v>548</v>
      </c>
    </row>
    <row r="8" spans="1:4">
      <c r="A8" s="562">
        <v>7</v>
      </c>
      <c r="B8" s="562" t="s">
        <v>187</v>
      </c>
      <c r="C8" s="567">
        <v>0.05</v>
      </c>
    </row>
    <row r="9" spans="1:4">
      <c r="A9" s="562">
        <v>8</v>
      </c>
      <c r="B9" s="562" t="s">
        <v>195</v>
      </c>
      <c r="C9" s="567"/>
    </row>
    <row r="10" spans="1:4">
      <c r="A10" s="562">
        <v>9</v>
      </c>
      <c r="B10" s="562" t="s">
        <v>200</v>
      </c>
      <c r="C10" s="568">
        <v>41675</v>
      </c>
    </row>
    <row r="11" spans="1:4" ht="19.5" customHeight="1">
      <c r="A11" s="562">
        <v>10</v>
      </c>
      <c r="B11" s="562" t="s">
        <v>315</v>
      </c>
      <c r="C11" s="569"/>
    </row>
    <row r="12" spans="1:4">
      <c r="A12" s="562">
        <v>11</v>
      </c>
      <c r="B12" s="562" t="s">
        <v>308</v>
      </c>
      <c r="C12" s="570">
        <v>41675</v>
      </c>
    </row>
    <row r="13" spans="1:4">
      <c r="A13" s="562">
        <v>12</v>
      </c>
      <c r="B13" s="562" t="s">
        <v>340</v>
      </c>
      <c r="C13" s="571">
        <v>2557</v>
      </c>
    </row>
    <row r="50" spans="1:24">
      <c r="A50" s="572" t="str">
        <f>CompanyProfile!$C$2</f>
        <v>หจก.ศิวะกรเซฟตี้ จำกัด</v>
      </c>
      <c r="B50" s="573"/>
      <c r="C50" s="573"/>
      <c r="D50" s="573"/>
      <c r="E50" s="573"/>
      <c r="F50" s="573"/>
      <c r="G50" s="573"/>
    </row>
    <row r="51" spans="1:24">
      <c r="A51" s="572" t="s">
        <v>199</v>
      </c>
      <c r="B51" s="573"/>
      <c r="C51" s="573"/>
      <c r="D51" s="573"/>
      <c r="E51" s="573"/>
      <c r="F51" s="573"/>
      <c r="G51" s="573"/>
    </row>
    <row r="52" spans="1:24">
      <c r="A52" s="572" t="str">
        <f>"ประจำงวดวันที่ "&amp;TEXT(CompanyProfile!$C$12,"d ดดดด พ.ศ. bbbb")</f>
        <v>ประจำงวดวันที่ 5 กุมภาพันธ์ พ.ศ. 2557</v>
      </c>
      <c r="B52" s="573"/>
      <c r="C52" s="573"/>
      <c r="D52" s="573"/>
      <c r="E52" s="573"/>
      <c r="F52" s="573"/>
      <c r="G52" s="573"/>
    </row>
    <row r="53" spans="1:24">
      <c r="A53" s="497" t="s">
        <v>50</v>
      </c>
      <c r="B53" s="497" t="s">
        <v>192</v>
      </c>
      <c r="C53" s="498" t="s">
        <v>168</v>
      </c>
      <c r="D53" s="498" t="s">
        <v>166</v>
      </c>
      <c r="E53" s="498" t="s">
        <v>412</v>
      </c>
      <c r="F53" s="498" t="s">
        <v>167</v>
      </c>
      <c r="G53" s="499" t="s">
        <v>147</v>
      </c>
      <c r="H53" s="498" t="s">
        <v>412</v>
      </c>
      <c r="I53" s="498" t="s">
        <v>168</v>
      </c>
      <c r="J53" s="499" t="s">
        <v>147</v>
      </c>
    </row>
    <row r="54" spans="1:24" s="500" customFormat="1" ht="12.75">
      <c r="A54" s="348">
        <v>2</v>
      </c>
      <c r="B54" s="348"/>
      <c r="C54" s="208">
        <v>3030471543</v>
      </c>
      <c r="D54" s="348" t="s">
        <v>226</v>
      </c>
      <c r="E54" s="500" t="s">
        <v>414</v>
      </c>
      <c r="F54" s="500" t="s">
        <v>415</v>
      </c>
      <c r="G54" s="501">
        <v>7551</v>
      </c>
      <c r="I54" s="348" t="s">
        <v>413</v>
      </c>
      <c r="J54" s="501">
        <v>7551</v>
      </c>
    </row>
    <row r="55" spans="1:24" s="500" customFormat="1" ht="12.75">
      <c r="A55" s="348"/>
      <c r="B55" s="348"/>
      <c r="C55" s="208"/>
      <c r="D55" s="348"/>
      <c r="F55" s="500" t="s">
        <v>198</v>
      </c>
      <c r="G55" s="510">
        <v>270652.5</v>
      </c>
      <c r="I55" s="348"/>
      <c r="J55" s="501"/>
    </row>
    <row r="56" spans="1:24" s="500" customFormat="1" ht="12.75">
      <c r="A56" s="348"/>
      <c r="B56" s="348"/>
      <c r="C56" s="208"/>
      <c r="D56" s="348"/>
      <c r="F56" s="500" t="s">
        <v>197</v>
      </c>
      <c r="G56" s="510">
        <v>428402.5</v>
      </c>
      <c r="I56" s="348"/>
      <c r="J56" s="501"/>
    </row>
    <row r="61" spans="1:24" s="500" customFormat="1" ht="12.75">
      <c r="A61" s="348"/>
      <c r="P61" s="574"/>
      <c r="T61" s="575"/>
      <c r="X61" s="553"/>
    </row>
    <row r="62" spans="1:24" s="198" customFormat="1" ht="10.5">
      <c r="A62" s="513"/>
      <c r="P62" s="514"/>
      <c r="T62" s="515"/>
    </row>
    <row r="63" spans="1:24" s="198" customFormat="1" ht="10.5">
      <c r="A63" s="513"/>
      <c r="P63" s="514"/>
      <c r="T63" s="515"/>
      <c r="W63" s="516" t="str">
        <f>"เลขประจำตัวผู้เสียภาษีอากร     "&amp;CompanyProfile!$C$5</f>
        <v>เลขประจำตัวผู้เสียภาษีอากร     1234567890123</v>
      </c>
      <c r="X63" s="322"/>
    </row>
    <row r="64" spans="1:24" s="198" customFormat="1" ht="22.5">
      <c r="A64" s="513" t="s">
        <v>120</v>
      </c>
      <c r="B64" s="517" t="s">
        <v>193</v>
      </c>
      <c r="G64" s="738" t="s">
        <v>448</v>
      </c>
      <c r="H64" s="739"/>
      <c r="I64" s="739"/>
      <c r="J64" s="739"/>
      <c r="K64" s="739"/>
      <c r="L64" s="739"/>
      <c r="M64" s="739"/>
      <c r="N64" s="739"/>
      <c r="O64" s="739"/>
      <c r="P64" s="739"/>
      <c r="Q64" s="739"/>
      <c r="R64" s="739"/>
      <c r="S64" s="739"/>
      <c r="T64" s="739"/>
      <c r="U64" s="739"/>
      <c r="V64" s="740"/>
      <c r="W64" s="198" t="s">
        <v>119</v>
      </c>
      <c r="X64" s="322"/>
    </row>
    <row r="65" spans="1:28" s="198" customFormat="1" ht="10.5">
      <c r="G65" s="518" t="s">
        <v>449</v>
      </c>
      <c r="H65" s="519"/>
      <c r="I65" s="520"/>
      <c r="J65" s="520"/>
      <c r="K65" s="520"/>
      <c r="L65" s="520"/>
      <c r="M65" s="520"/>
      <c r="N65" s="520" t="s">
        <v>121</v>
      </c>
      <c r="O65" s="520"/>
      <c r="P65" s="521"/>
      <c r="Q65" s="522" t="s">
        <v>450</v>
      </c>
      <c r="R65" s="522" t="s">
        <v>122</v>
      </c>
      <c r="S65" s="522"/>
      <c r="T65" s="523"/>
      <c r="U65" s="522"/>
      <c r="V65" s="524"/>
      <c r="AB65" s="525"/>
    </row>
    <row r="66" spans="1:28" s="528" customFormat="1" ht="9">
      <c r="A66" s="526" t="s">
        <v>123</v>
      </c>
      <c r="B66" s="526"/>
      <c r="C66" s="726" t="s">
        <v>124</v>
      </c>
      <c r="D66" s="727"/>
      <c r="E66" s="727"/>
      <c r="F66" s="727"/>
      <c r="G66" s="727"/>
      <c r="H66" s="727"/>
      <c r="I66" s="727"/>
      <c r="J66" s="727"/>
      <c r="K66" s="727"/>
      <c r="L66" s="727"/>
      <c r="M66" s="727"/>
      <c r="N66" s="727"/>
      <c r="O66" s="728"/>
      <c r="P66" s="527" t="s">
        <v>125</v>
      </c>
      <c r="Q66" s="736" t="s">
        <v>126</v>
      </c>
      <c r="R66" s="741"/>
      <c r="S66" s="741"/>
      <c r="T66" s="741"/>
      <c r="U66" s="737"/>
      <c r="V66" s="734" t="s">
        <v>127</v>
      </c>
      <c r="W66" s="742"/>
      <c r="X66" s="742"/>
      <c r="Y66" s="735"/>
      <c r="Z66" s="734" t="s">
        <v>128</v>
      </c>
      <c r="AA66" s="742"/>
      <c r="AB66" s="735"/>
    </row>
    <row r="67" spans="1:28" s="528" customFormat="1" ht="9">
      <c r="A67" s="529" t="s">
        <v>129</v>
      </c>
      <c r="B67" s="529"/>
      <c r="C67" s="530"/>
      <c r="D67" s="530"/>
      <c r="E67" s="530"/>
      <c r="F67" s="726" t="s">
        <v>130</v>
      </c>
      <c r="G67" s="727"/>
      <c r="H67" s="727"/>
      <c r="I67" s="727"/>
      <c r="J67" s="727"/>
      <c r="K67" s="727"/>
      <c r="L67" s="727"/>
      <c r="M67" s="727"/>
      <c r="N67" s="727"/>
      <c r="O67" s="728"/>
      <c r="P67" s="531" t="s">
        <v>131</v>
      </c>
      <c r="Q67" s="532" t="s">
        <v>132</v>
      </c>
      <c r="R67" s="726" t="s">
        <v>133</v>
      </c>
      <c r="S67" s="728"/>
      <c r="T67" s="729" t="s">
        <v>134</v>
      </c>
      <c r="U67" s="730"/>
      <c r="V67" s="712" t="s">
        <v>135</v>
      </c>
      <c r="W67" s="731"/>
      <c r="X67" s="731"/>
      <c r="Y67" s="713"/>
      <c r="Z67" s="712" t="s">
        <v>136</v>
      </c>
      <c r="AA67" s="731"/>
      <c r="AB67" s="713"/>
    </row>
    <row r="68" spans="1:28" s="528" customFormat="1" ht="9">
      <c r="A68" s="529"/>
      <c r="B68" s="529"/>
      <c r="C68" s="530"/>
      <c r="D68" s="530"/>
      <c r="E68" s="530"/>
      <c r="F68" s="536"/>
      <c r="G68" s="530"/>
      <c r="H68" s="530"/>
      <c r="I68" s="530"/>
      <c r="J68" s="530"/>
      <c r="K68" s="530"/>
      <c r="L68" s="530"/>
      <c r="M68" s="530"/>
      <c r="N68" s="530"/>
      <c r="O68" s="537"/>
      <c r="P68" s="531" t="s">
        <v>137</v>
      </c>
      <c r="Q68" s="538" t="s">
        <v>138</v>
      </c>
      <c r="R68" s="530" t="s">
        <v>139</v>
      </c>
      <c r="S68" s="532" t="s">
        <v>140</v>
      </c>
      <c r="T68" s="732"/>
      <c r="U68" s="733"/>
      <c r="V68" s="532" t="s">
        <v>141</v>
      </c>
      <c r="W68" s="532" t="s">
        <v>142</v>
      </c>
      <c r="X68" s="734" t="s">
        <v>143</v>
      </c>
      <c r="Y68" s="735"/>
      <c r="Z68" s="539"/>
      <c r="AA68" s="540"/>
      <c r="AB68" s="541"/>
    </row>
    <row r="69" spans="1:28" s="528" customFormat="1" ht="9">
      <c r="A69" s="529"/>
      <c r="B69" s="542"/>
      <c r="C69" s="543" t="s">
        <v>144</v>
      </c>
      <c r="D69" s="543"/>
      <c r="E69" s="543"/>
      <c r="F69" s="543"/>
      <c r="G69" s="543"/>
      <c r="H69" s="543"/>
      <c r="I69" s="543"/>
      <c r="J69" s="543"/>
      <c r="K69" s="543"/>
      <c r="L69" s="543"/>
      <c r="M69" s="543"/>
      <c r="N69" s="543"/>
      <c r="O69" s="541"/>
      <c r="P69" s="531" t="s">
        <v>145</v>
      </c>
      <c r="Q69" s="538" t="s">
        <v>146</v>
      </c>
      <c r="R69" s="543"/>
      <c r="S69" s="544"/>
      <c r="T69" s="736" t="s">
        <v>147</v>
      </c>
      <c r="U69" s="737"/>
      <c r="V69" s="544"/>
      <c r="W69" s="538" t="s">
        <v>148</v>
      </c>
      <c r="X69" s="712" t="s">
        <v>149</v>
      </c>
      <c r="Y69" s="713"/>
      <c r="Z69" s="724" t="s">
        <v>147</v>
      </c>
      <c r="AA69" s="725"/>
      <c r="AB69" s="537" t="s">
        <v>150</v>
      </c>
    </row>
    <row r="70" spans="1:28" s="528" customFormat="1" ht="9">
      <c r="A70" s="533"/>
      <c r="B70" s="545"/>
      <c r="C70" s="546"/>
      <c r="D70" s="546"/>
      <c r="E70" s="546"/>
      <c r="F70" s="546"/>
      <c r="G70" s="546"/>
      <c r="H70" s="546"/>
      <c r="I70" s="546"/>
      <c r="J70" s="546"/>
      <c r="K70" s="546"/>
      <c r="L70" s="546"/>
      <c r="M70" s="546"/>
      <c r="N70" s="546"/>
      <c r="O70" s="547"/>
      <c r="P70" s="548"/>
      <c r="Q70" s="549"/>
      <c r="R70" s="546"/>
      <c r="S70" s="549"/>
      <c r="T70" s="550" t="s">
        <v>151</v>
      </c>
      <c r="U70" s="551" t="s">
        <v>152</v>
      </c>
      <c r="V70" s="549"/>
      <c r="W70" s="552" t="s">
        <v>153</v>
      </c>
      <c r="X70" s="534" t="s">
        <v>151</v>
      </c>
      <c r="Y70" s="551" t="s">
        <v>152</v>
      </c>
      <c r="Z70" s="551" t="s">
        <v>151</v>
      </c>
      <c r="AA70" s="551" t="s">
        <v>152</v>
      </c>
      <c r="AB70" s="535" t="s">
        <v>154</v>
      </c>
    </row>
    <row r="71" spans="1:28" s="586" customFormat="1" ht="11.25">
      <c r="A71" s="576"/>
      <c r="B71" s="577"/>
      <c r="C71" s="578">
        <v>1</v>
      </c>
      <c r="D71" s="579">
        <v>2</v>
      </c>
      <c r="E71" s="579">
        <v>3</v>
      </c>
      <c r="F71" s="579">
        <v>4</v>
      </c>
      <c r="G71" s="579">
        <v>5</v>
      </c>
      <c r="H71" s="579">
        <v>6</v>
      </c>
      <c r="I71" s="579">
        <v>7</v>
      </c>
      <c r="J71" s="579">
        <v>8</v>
      </c>
      <c r="K71" s="579">
        <v>9</v>
      </c>
      <c r="L71" s="579">
        <v>0</v>
      </c>
      <c r="M71" s="579">
        <v>1</v>
      </c>
      <c r="N71" s="579">
        <v>2</v>
      </c>
      <c r="O71" s="580">
        <v>3</v>
      </c>
      <c r="P71" s="581"/>
      <c r="Q71" s="582"/>
      <c r="R71" s="583"/>
      <c r="S71" s="582"/>
      <c r="T71" s="584"/>
      <c r="U71" s="577"/>
      <c r="V71" s="582"/>
      <c r="W71" s="582"/>
      <c r="X71" s="585"/>
      <c r="Y71" s="583"/>
      <c r="Z71" s="585"/>
      <c r="AA71" s="583"/>
      <c r="AB71" s="582"/>
    </row>
    <row r="72" spans="1:28" s="586" customFormat="1" ht="11.25" hidden="1">
      <c r="A72" s="576"/>
      <c r="B72" s="587"/>
      <c r="C72" s="588"/>
      <c r="D72" s="588"/>
      <c r="E72" s="588"/>
      <c r="F72" s="578">
        <v>1</v>
      </c>
      <c r="G72" s="579">
        <v>2</v>
      </c>
      <c r="H72" s="579">
        <v>3</v>
      </c>
      <c r="I72" s="579">
        <v>4</v>
      </c>
      <c r="J72" s="579">
        <v>5</v>
      </c>
      <c r="K72" s="579">
        <v>6</v>
      </c>
      <c r="L72" s="579">
        <v>7</v>
      </c>
      <c r="M72" s="579">
        <v>8</v>
      </c>
      <c r="N72" s="579">
        <v>9</v>
      </c>
      <c r="O72" s="579">
        <v>0</v>
      </c>
      <c r="P72" s="589"/>
      <c r="Q72" s="576"/>
      <c r="R72" s="588"/>
      <c r="S72" s="576"/>
      <c r="T72" s="590"/>
      <c r="U72" s="587"/>
      <c r="V72" s="576"/>
      <c r="W72" s="576"/>
      <c r="X72" s="591"/>
      <c r="Y72" s="588"/>
      <c r="Z72" s="591"/>
      <c r="AA72" s="588"/>
      <c r="AB72" s="576"/>
    </row>
    <row r="73" spans="1:28" s="586" customFormat="1" ht="11.25">
      <c r="A73" s="576"/>
      <c r="B73" s="587" t="s">
        <v>490</v>
      </c>
      <c r="C73" s="592"/>
      <c r="D73" s="588"/>
      <c r="E73" s="588"/>
      <c r="F73" s="588"/>
      <c r="G73" s="588"/>
      <c r="H73" s="588"/>
      <c r="I73" s="588"/>
      <c r="J73" s="588"/>
      <c r="K73" s="588"/>
      <c r="L73" s="588"/>
      <c r="M73" s="588"/>
      <c r="N73" s="588"/>
      <c r="O73" s="593"/>
      <c r="P73" s="589"/>
      <c r="Q73" s="576" t="s">
        <v>421</v>
      </c>
      <c r="R73" s="588">
        <v>0</v>
      </c>
      <c r="S73" s="576">
        <v>0</v>
      </c>
      <c r="T73" s="591">
        <v>0</v>
      </c>
      <c r="U73" s="594"/>
      <c r="V73" s="576"/>
      <c r="W73" s="576"/>
      <c r="X73" s="591">
        <v>63000</v>
      </c>
      <c r="Y73" s="594"/>
      <c r="Z73" s="591">
        <v>3490</v>
      </c>
      <c r="AA73" s="594"/>
      <c r="AB73" s="595" t="s">
        <v>521</v>
      </c>
    </row>
    <row r="74" spans="1:28" s="586" customFormat="1" ht="7.5" customHeight="1">
      <c r="A74" s="596"/>
      <c r="B74" s="597"/>
      <c r="C74" s="598"/>
      <c r="D74" s="598"/>
      <c r="E74" s="598"/>
      <c r="F74" s="598"/>
      <c r="G74" s="598"/>
      <c r="H74" s="598"/>
      <c r="I74" s="598"/>
      <c r="J74" s="598"/>
      <c r="K74" s="598"/>
      <c r="L74" s="598"/>
      <c r="M74" s="598"/>
      <c r="N74" s="598"/>
      <c r="O74" s="599"/>
      <c r="P74" s="600"/>
      <c r="Q74" s="596"/>
      <c r="R74" s="598"/>
      <c r="S74" s="596"/>
      <c r="T74" s="601"/>
      <c r="U74" s="597"/>
      <c r="V74" s="596"/>
      <c r="W74" s="596"/>
      <c r="X74" s="602"/>
      <c r="Y74" s="598"/>
      <c r="Z74" s="602"/>
      <c r="AA74" s="598"/>
      <c r="AB74" s="596"/>
    </row>
    <row r="75" spans="1:28" s="586" customFormat="1" ht="11.25">
      <c r="A75" s="588"/>
      <c r="B75" s="587"/>
      <c r="C75" s="588"/>
      <c r="D75" s="588"/>
      <c r="E75" s="588"/>
      <c r="F75" s="588"/>
      <c r="G75" s="588"/>
      <c r="H75" s="588"/>
      <c r="I75" s="588"/>
      <c r="J75" s="588"/>
      <c r="K75" s="588"/>
      <c r="L75" s="588"/>
      <c r="M75" s="588"/>
      <c r="N75" s="588"/>
      <c r="O75" s="588"/>
      <c r="P75" s="603"/>
      <c r="Q75" s="588"/>
      <c r="R75" s="588"/>
      <c r="S75" s="588"/>
      <c r="T75" s="604"/>
      <c r="U75" s="587"/>
      <c r="V75" s="588"/>
      <c r="W75" s="588"/>
      <c r="X75" s="605"/>
      <c r="Y75" s="588"/>
      <c r="Z75" s="605"/>
      <c r="AA75" s="588"/>
      <c r="AB75" s="588"/>
    </row>
    <row r="77" spans="1:28" s="607" customFormat="1" ht="24" customHeight="1" thickBot="1">
      <c r="A77" s="606"/>
      <c r="P77" s="608"/>
      <c r="T77" s="609" t="s">
        <v>156</v>
      </c>
      <c r="U77" s="610"/>
      <c r="V77" s="610"/>
      <c r="W77" s="611"/>
      <c r="X77" s="612"/>
      <c r="Y77" s="613" t="s">
        <v>155</v>
      </c>
      <c r="Z77" s="612"/>
      <c r="AA77" s="613" t="s">
        <v>155</v>
      </c>
      <c r="AB77" s="614"/>
    </row>
    <row r="78" spans="1:28" s="615" customFormat="1" ht="13.5" thickTop="1"/>
    <row r="79" spans="1:28" s="615" customFormat="1" ht="12.75"/>
    <row r="80" spans="1:28" s="616" customFormat="1" ht="27" customHeight="1">
      <c r="V80" s="616" t="s">
        <v>218</v>
      </c>
    </row>
    <row r="81" spans="1:38" s="616" customFormat="1" ht="27.75" customHeight="1">
      <c r="V81" s="616" t="s">
        <v>219</v>
      </c>
    </row>
    <row r="82" spans="1:38" s="616" customFormat="1" ht="27" customHeight="1">
      <c r="V82" s="616" t="s">
        <v>220</v>
      </c>
    </row>
    <row r="85" spans="1:38" s="618" customFormat="1">
      <c r="A85" s="617">
        <v>1</v>
      </c>
      <c r="B85" s="617">
        <v>2</v>
      </c>
      <c r="C85" s="617">
        <v>3</v>
      </c>
      <c r="D85" s="617">
        <v>4</v>
      </c>
      <c r="E85" s="617">
        <v>5</v>
      </c>
      <c r="F85" s="617">
        <v>6</v>
      </c>
      <c r="G85" s="617">
        <v>7</v>
      </c>
      <c r="H85" s="617">
        <v>8</v>
      </c>
      <c r="I85" s="617">
        <v>9</v>
      </c>
      <c r="J85" s="617">
        <v>10</v>
      </c>
      <c r="K85" s="617">
        <v>11</v>
      </c>
      <c r="L85" s="617">
        <v>12</v>
      </c>
      <c r="M85" s="617">
        <v>13</v>
      </c>
      <c r="N85" s="617">
        <v>14</v>
      </c>
      <c r="O85" s="617">
        <v>15</v>
      </c>
      <c r="P85" s="617">
        <v>16</v>
      </c>
      <c r="Q85" s="617">
        <v>17</v>
      </c>
      <c r="R85" s="617">
        <v>18</v>
      </c>
      <c r="S85" s="617">
        <v>19</v>
      </c>
      <c r="T85" s="617">
        <v>20</v>
      </c>
      <c r="U85" s="617">
        <v>21</v>
      </c>
      <c r="V85" s="617">
        <v>22</v>
      </c>
      <c r="W85" s="617">
        <v>23</v>
      </c>
      <c r="X85" s="617">
        <v>24</v>
      </c>
      <c r="Y85" s="617">
        <v>25</v>
      </c>
      <c r="Z85" s="617">
        <v>26</v>
      </c>
      <c r="AA85" s="564"/>
      <c r="AB85" s="564"/>
      <c r="AC85" s="564"/>
      <c r="AD85" s="564"/>
      <c r="AE85" s="564"/>
      <c r="AF85" s="564"/>
      <c r="AG85" s="564"/>
      <c r="AH85" s="564"/>
      <c r="AI85" s="564"/>
    </row>
    <row r="86" spans="1:38" s="630" customFormat="1">
      <c r="A86" s="619" t="s">
        <v>123</v>
      </c>
      <c r="B86" s="620" t="s">
        <v>180</v>
      </c>
      <c r="C86" s="621" t="s">
        <v>185</v>
      </c>
      <c r="D86" s="622" t="s">
        <v>80</v>
      </c>
      <c r="E86" s="623" t="s">
        <v>184</v>
      </c>
      <c r="F86" s="624" t="s">
        <v>178</v>
      </c>
      <c r="G86" s="625"/>
      <c r="H86" s="625"/>
      <c r="I86" s="625"/>
      <c r="J86" s="625"/>
      <c r="K86" s="625"/>
      <c r="L86" s="625"/>
      <c r="M86" s="625"/>
      <c r="N86" s="625"/>
      <c r="O86" s="625" t="s">
        <v>179</v>
      </c>
      <c r="P86" s="625"/>
      <c r="Q86" s="625"/>
      <c r="R86" s="625"/>
      <c r="S86" s="625"/>
      <c r="T86" s="626" t="s">
        <v>56</v>
      </c>
      <c r="U86" s="627"/>
      <c r="V86" s="626" t="s">
        <v>52</v>
      </c>
      <c r="W86" s="626" t="s">
        <v>53</v>
      </c>
      <c r="X86" s="626" t="s">
        <v>54</v>
      </c>
      <c r="Y86" s="626" t="s">
        <v>54</v>
      </c>
      <c r="Z86" s="628"/>
      <c r="AA86" s="564"/>
      <c r="AB86" s="564"/>
      <c r="AC86" s="564"/>
      <c r="AD86" s="564"/>
      <c r="AE86" s="564"/>
      <c r="AF86" s="564"/>
      <c r="AG86" s="564"/>
      <c r="AH86" s="564"/>
      <c r="AI86" s="564"/>
      <c r="AJ86" s="629"/>
      <c r="AK86" s="629"/>
      <c r="AL86" s="629"/>
    </row>
    <row r="87" spans="1:38" s="642" customFormat="1">
      <c r="A87" s="631" t="s">
        <v>129</v>
      </c>
      <c r="B87" s="632"/>
      <c r="C87" s="633" t="s">
        <v>186</v>
      </c>
      <c r="D87" s="634"/>
      <c r="E87" s="635"/>
      <c r="F87" s="636" t="s">
        <v>321</v>
      </c>
      <c r="G87" s="637" t="s">
        <v>51</v>
      </c>
      <c r="H87" s="637" t="s">
        <v>425</v>
      </c>
      <c r="I87" s="637" t="s">
        <v>426</v>
      </c>
      <c r="J87" s="637" t="s">
        <v>454</v>
      </c>
      <c r="K87" s="637" t="s">
        <v>455</v>
      </c>
      <c r="L87" s="637" t="s">
        <v>369</v>
      </c>
      <c r="M87" s="637" t="s">
        <v>55</v>
      </c>
      <c r="N87" s="637" t="s">
        <v>60</v>
      </c>
      <c r="O87" s="637" t="s">
        <v>181</v>
      </c>
      <c r="P87" s="637" t="s">
        <v>58</v>
      </c>
      <c r="Q87" s="637" t="s">
        <v>183</v>
      </c>
      <c r="R87" s="637" t="s">
        <v>55</v>
      </c>
      <c r="S87" s="637" t="s">
        <v>322</v>
      </c>
      <c r="T87" s="638"/>
      <c r="U87" s="639"/>
      <c r="V87" s="638"/>
      <c r="W87" s="638" t="s">
        <v>57</v>
      </c>
      <c r="X87" s="638" t="s">
        <v>58</v>
      </c>
      <c r="Y87" s="638" t="s">
        <v>183</v>
      </c>
      <c r="Z87" s="640"/>
      <c r="AA87" s="564"/>
      <c r="AB87" s="564"/>
      <c r="AC87" s="564"/>
      <c r="AD87" s="564"/>
      <c r="AE87" s="564"/>
      <c r="AF87" s="564"/>
      <c r="AG87" s="564"/>
      <c r="AH87" s="564"/>
      <c r="AI87" s="564"/>
      <c r="AJ87" s="641"/>
      <c r="AK87" s="641"/>
      <c r="AL87" s="641"/>
    </row>
    <row r="88" spans="1:38" s="653" customFormat="1" ht="11.25" customHeight="1">
      <c r="A88" s="643">
        <v>1</v>
      </c>
      <c r="B88" s="644">
        <v>1001</v>
      </c>
      <c r="C88" s="645" t="s">
        <v>427</v>
      </c>
      <c r="D88" s="646" t="s">
        <v>429</v>
      </c>
      <c r="E88" s="647" t="s">
        <v>463</v>
      </c>
      <c r="F88" s="648">
        <v>150000</v>
      </c>
      <c r="G88" s="649">
        <v>1500</v>
      </c>
      <c r="H88" s="650">
        <v>2500</v>
      </c>
      <c r="I88" s="650">
        <v>1500</v>
      </c>
      <c r="J88" s="650">
        <v>2500</v>
      </c>
      <c r="K88" s="650">
        <v>3500</v>
      </c>
      <c r="L88" s="650">
        <v>4500</v>
      </c>
      <c r="M88" s="650">
        <v>5500</v>
      </c>
      <c r="N88" s="650">
        <v>171500</v>
      </c>
      <c r="O88" s="651">
        <v>24339</v>
      </c>
      <c r="P88" s="650">
        <v>600</v>
      </c>
      <c r="Q88" s="650"/>
      <c r="R88" s="650"/>
      <c r="S88" s="650">
        <v>24939</v>
      </c>
      <c r="T88" s="650">
        <v>146561</v>
      </c>
      <c r="U88" s="652"/>
      <c r="V88" s="652">
        <v>513812.5</v>
      </c>
      <c r="W88" s="652">
        <v>87513</v>
      </c>
      <c r="X88" s="652">
        <v>1500</v>
      </c>
      <c r="Y88" s="653">
        <v>0</v>
      </c>
      <c r="Z88" s="652"/>
      <c r="AA88" s="564"/>
      <c r="AB88" s="564"/>
      <c r="AC88" s="564"/>
      <c r="AD88" s="564"/>
      <c r="AE88" s="564">
        <v>157500</v>
      </c>
      <c r="AF88" s="564">
        <v>22205</v>
      </c>
      <c r="AG88" s="564">
        <v>2134</v>
      </c>
      <c r="AH88" s="564"/>
      <c r="AI88" s="564"/>
    </row>
    <row r="89" spans="1:38" s="653" customFormat="1" ht="11.25" customHeight="1">
      <c r="A89" s="643">
        <v>2</v>
      </c>
      <c r="B89" s="644">
        <v>1002</v>
      </c>
      <c r="C89" s="645" t="s">
        <v>427</v>
      </c>
      <c r="D89" s="646" t="s">
        <v>430</v>
      </c>
      <c r="E89" s="647" t="s">
        <v>464</v>
      </c>
      <c r="F89" s="648">
        <v>85000</v>
      </c>
      <c r="G89" s="649">
        <v>1000</v>
      </c>
      <c r="H89" s="650">
        <v>2000</v>
      </c>
      <c r="I89" s="650">
        <v>3000</v>
      </c>
      <c r="J89" s="650">
        <v>4000</v>
      </c>
      <c r="K89" s="650">
        <v>5000</v>
      </c>
      <c r="L89" s="650">
        <v>6000</v>
      </c>
      <c r="M89" s="650">
        <v>7000</v>
      </c>
      <c r="N89" s="650">
        <v>113000</v>
      </c>
      <c r="O89" s="651">
        <v>11072</v>
      </c>
      <c r="P89" s="650">
        <v>600</v>
      </c>
      <c r="Q89" s="650"/>
      <c r="R89" s="650"/>
      <c r="S89" s="650">
        <v>11672</v>
      </c>
      <c r="T89" s="650">
        <v>101328</v>
      </c>
      <c r="U89" s="652"/>
      <c r="V89" s="652">
        <v>234512</v>
      </c>
      <c r="W89" s="652">
        <v>28412</v>
      </c>
      <c r="X89" s="652">
        <v>1305</v>
      </c>
      <c r="Y89" s="653">
        <v>0</v>
      </c>
      <c r="Z89" s="652"/>
      <c r="AA89" s="564"/>
      <c r="AB89" s="564"/>
      <c r="AC89" s="564"/>
      <c r="AD89" s="564"/>
      <c r="AE89" s="564">
        <v>95000</v>
      </c>
      <c r="AF89" s="564">
        <v>9272</v>
      </c>
      <c r="AG89" s="564">
        <v>1800</v>
      </c>
      <c r="AH89" s="564"/>
      <c r="AI89" s="564"/>
    </row>
    <row r="90" spans="1:38" s="653" customFormat="1">
      <c r="A90" s="654"/>
      <c r="B90" s="655"/>
      <c r="C90" s="655"/>
      <c r="D90" s="656"/>
      <c r="E90" s="657"/>
      <c r="F90" s="658"/>
      <c r="G90" s="658"/>
      <c r="H90" s="658"/>
      <c r="I90" s="658"/>
      <c r="J90" s="658"/>
      <c r="K90" s="658"/>
      <c r="L90" s="658"/>
      <c r="M90" s="658"/>
      <c r="N90" s="658"/>
      <c r="O90" s="658"/>
      <c r="P90" s="658"/>
      <c r="Q90" s="658"/>
      <c r="R90" s="658"/>
      <c r="S90" s="658"/>
      <c r="T90" s="659"/>
      <c r="U90" s="651"/>
      <c r="V90" s="660"/>
      <c r="W90" s="658"/>
      <c r="X90" s="658"/>
      <c r="Y90" s="658"/>
      <c r="AA90" s="564"/>
      <c r="AB90" s="564"/>
      <c r="AC90" s="564"/>
      <c r="AD90" s="564"/>
      <c r="AE90" s="564"/>
      <c r="AF90" s="564"/>
      <c r="AG90" s="564"/>
      <c r="AH90" s="564"/>
      <c r="AI90" s="564"/>
      <c r="AJ90" s="652"/>
      <c r="AK90" s="652"/>
      <c r="AL90" s="652"/>
    </row>
    <row r="91" spans="1:38" s="653" customFormat="1" ht="15.75" thickBot="1">
      <c r="A91" s="661"/>
      <c r="B91" s="662"/>
      <c r="C91" s="662"/>
      <c r="D91" s="663"/>
      <c r="E91" s="664"/>
      <c r="F91" s="665">
        <v>537070</v>
      </c>
      <c r="G91" s="665">
        <v>19704</v>
      </c>
      <c r="H91" s="665">
        <v>15500</v>
      </c>
      <c r="I91" s="665">
        <v>12000</v>
      </c>
      <c r="J91" s="665">
        <v>16000</v>
      </c>
      <c r="K91" s="665">
        <v>24350</v>
      </c>
      <c r="L91" s="665">
        <v>16500</v>
      </c>
      <c r="M91" s="665">
        <v>19500</v>
      </c>
      <c r="N91" s="665">
        <v>660624</v>
      </c>
      <c r="O91" s="665">
        <v>44842</v>
      </c>
      <c r="P91" s="665">
        <v>8222</v>
      </c>
      <c r="Q91" s="665">
        <v>0</v>
      </c>
      <c r="R91" s="665">
        <v>0</v>
      </c>
      <c r="S91" s="665">
        <v>53064</v>
      </c>
      <c r="T91" s="666">
        <v>607560</v>
      </c>
      <c r="U91" s="652"/>
      <c r="V91" s="665"/>
      <c r="W91" s="665"/>
      <c r="X91" s="665"/>
      <c r="Y91" s="665"/>
      <c r="AA91" s="564"/>
      <c r="AB91" s="564"/>
      <c r="AC91" s="564"/>
      <c r="AD91" s="564"/>
      <c r="AE91" s="564"/>
      <c r="AF91" s="564"/>
      <c r="AG91" s="564"/>
      <c r="AH91" s="564"/>
      <c r="AI91" s="564"/>
      <c r="AJ91" s="652"/>
      <c r="AK91" s="652"/>
      <c r="AL91" s="652"/>
    </row>
    <row r="92" spans="1:38" ht="15.75" thickTop="1"/>
    <row r="101" spans="1:7" ht="23.25">
      <c r="A101" s="418"/>
      <c r="B101" s="418"/>
      <c r="C101" s="419" t="s">
        <v>47</v>
      </c>
      <c r="D101" s="418"/>
      <c r="E101" s="418"/>
      <c r="F101" s="420"/>
      <c r="G101" s="420" t="s">
        <v>37</v>
      </c>
    </row>
    <row r="102" spans="1:7" ht="22.5">
      <c r="A102" s="418" t="str">
        <f>"สำหรับค่าจ้างเดือน  "&amp;TEXT(CompanyProfile!$C$12," ดดดด  พ.ศ. bbbb")</f>
        <v>สำหรับค่าจ้างเดือน   กุมภาพันธ์  พ.ศ. 2557</v>
      </c>
      <c r="B102" s="418"/>
      <c r="C102" s="418"/>
      <c r="D102" s="418"/>
      <c r="E102" s="418"/>
      <c r="F102" s="511" t="s">
        <v>38</v>
      </c>
      <c r="G102" s="671">
        <f>CompanyProfile!$C$6</f>
        <v>1234567890</v>
      </c>
    </row>
    <row r="103" spans="1:7" ht="22.5">
      <c r="A103" s="418" t="str">
        <f>"ชื่อสถานประกอบการ   "&amp;CompanyProfile!$C$2</f>
        <v>ชื่อสถานประกอบการ   หจก.ศิวะกรเซฟตี้ จำกัด</v>
      </c>
      <c r="B103" s="418"/>
      <c r="C103" s="418"/>
      <c r="D103" s="418"/>
      <c r="E103" s="418"/>
      <c r="F103" s="420" t="s">
        <v>39</v>
      </c>
      <c r="G103" s="437" t="str">
        <f>'สปส.1-10 ส่วนที่1'!$J$5</f>
        <v>อัตราเงินสมทบ  5%</v>
      </c>
    </row>
    <row r="104" spans="1:7" ht="22.5">
      <c r="A104" s="421" t="s">
        <v>40</v>
      </c>
      <c r="B104" s="422" t="s">
        <v>188</v>
      </c>
      <c r="C104" s="422" t="s">
        <v>41</v>
      </c>
      <c r="D104" s="422" t="s">
        <v>80</v>
      </c>
      <c r="E104" s="422" t="s">
        <v>167</v>
      </c>
      <c r="F104" s="423" t="s">
        <v>353</v>
      </c>
      <c r="G104" s="423" t="s">
        <v>211</v>
      </c>
    </row>
    <row r="105" spans="1:7" ht="22.5">
      <c r="A105" s="424"/>
      <c r="B105" s="425"/>
      <c r="C105" s="424"/>
      <c r="D105" s="424"/>
      <c r="E105" s="424"/>
      <c r="F105" s="512"/>
      <c r="G105" s="426" t="s">
        <v>42</v>
      </c>
    </row>
    <row r="106" spans="1:7" ht="23.25">
      <c r="A106" s="694"/>
      <c r="B106" s="427"/>
      <c r="C106" s="428"/>
      <c r="D106" s="428"/>
      <c r="E106" s="428"/>
      <c r="F106" s="429"/>
      <c r="G106" s="429"/>
    </row>
    <row r="107" spans="1:7" ht="23.25">
      <c r="A107" s="695"/>
      <c r="B107" s="430"/>
      <c r="C107" s="431"/>
      <c r="D107" s="431"/>
      <c r="E107" s="431"/>
      <c r="F107" s="432"/>
      <c r="G107" s="429"/>
    </row>
    <row r="108" spans="1:7" ht="23.25">
      <c r="A108" s="695"/>
      <c r="B108" s="430"/>
      <c r="C108" s="431"/>
      <c r="D108" s="431"/>
      <c r="E108" s="431"/>
      <c r="F108" s="432"/>
      <c r="G108" s="429"/>
    </row>
    <row r="109" spans="1:7" ht="23.25">
      <c r="A109" s="695"/>
      <c r="B109" s="430"/>
      <c r="C109" s="431"/>
      <c r="D109" s="431"/>
      <c r="E109" s="431"/>
      <c r="F109" s="432"/>
      <c r="G109" s="429"/>
    </row>
    <row r="110" spans="1:7" ht="23.25">
      <c r="A110" s="695"/>
      <c r="B110" s="430"/>
      <c r="C110" s="431"/>
      <c r="D110" s="431"/>
      <c r="E110" s="431"/>
      <c r="F110" s="432"/>
      <c r="G110" s="429"/>
    </row>
    <row r="111" spans="1:7" ht="23.25">
      <c r="A111" s="695"/>
      <c r="B111" s="430"/>
      <c r="C111" s="431"/>
      <c r="D111" s="431"/>
      <c r="E111" s="431"/>
      <c r="F111" s="432"/>
      <c r="G111" s="429"/>
    </row>
    <row r="112" spans="1:7" ht="23.25">
      <c r="A112" s="695"/>
      <c r="B112" s="430"/>
      <c r="C112" s="431"/>
      <c r="D112" s="431"/>
      <c r="E112" s="431"/>
      <c r="F112" s="432"/>
      <c r="G112" s="429"/>
    </row>
    <row r="113" spans="1:7" ht="23.25">
      <c r="A113" s="695"/>
      <c r="B113" s="430"/>
      <c r="C113" s="431"/>
      <c r="D113" s="431"/>
      <c r="E113" s="431"/>
      <c r="F113" s="432"/>
      <c r="G113" s="429"/>
    </row>
    <row r="114" spans="1:7" ht="23.25">
      <c r="A114" s="695"/>
      <c r="B114" s="430"/>
      <c r="C114" s="431"/>
      <c r="D114" s="431"/>
      <c r="E114" s="431"/>
      <c r="F114" s="432"/>
      <c r="G114" s="429"/>
    </row>
    <row r="115" spans="1:7" ht="23.25">
      <c r="A115" s="695"/>
      <c r="B115" s="430"/>
      <c r="C115" s="431"/>
      <c r="D115" s="431"/>
      <c r="E115" s="431"/>
      <c r="F115" s="432"/>
      <c r="G115" s="429"/>
    </row>
    <row r="116" spans="1:7" ht="23.25">
      <c r="A116" s="695"/>
      <c r="B116" s="430"/>
      <c r="C116" s="431"/>
      <c r="D116" s="431"/>
      <c r="E116" s="431"/>
      <c r="F116" s="432"/>
      <c r="G116" s="429"/>
    </row>
    <row r="117" spans="1:7" ht="23.25">
      <c r="A117" s="424"/>
      <c r="B117" s="430"/>
      <c r="C117" s="431"/>
      <c r="D117" s="431"/>
      <c r="E117" s="431"/>
      <c r="F117" s="433"/>
      <c r="G117" s="429"/>
    </row>
    <row r="118" spans="1:7" ht="23.25" thickBot="1">
      <c r="A118" s="434" t="s">
        <v>43</v>
      </c>
      <c r="B118" s="722" t="s">
        <v>48</v>
      </c>
      <c r="C118" s="722"/>
      <c r="D118" s="722"/>
      <c r="E118" s="723"/>
      <c r="F118" s="435">
        <f>SUM(F106:F117)</f>
        <v>0</v>
      </c>
      <c r="G118" s="435">
        <f>SUM(G106:G117)</f>
        <v>0</v>
      </c>
    </row>
    <row r="119" spans="1:7" ht="24" thickTop="1">
      <c r="A119" s="418"/>
      <c r="B119" s="710" t="s">
        <v>49</v>
      </c>
      <c r="C119" s="710"/>
      <c r="D119" s="710"/>
      <c r="E119" s="710"/>
      <c r="F119" s="436"/>
      <c r="G119" s="436"/>
    </row>
    <row r="120" spans="1:7" ht="22.5">
      <c r="A120" s="418"/>
      <c r="B120" s="710" t="s">
        <v>44</v>
      </c>
      <c r="C120" s="710"/>
      <c r="D120" s="710"/>
      <c r="E120" s="710"/>
      <c r="F120" s="711" t="s">
        <v>45</v>
      </c>
      <c r="G120" s="711"/>
    </row>
    <row r="126" spans="1:7" ht="21.75">
      <c r="A126" s="464"/>
      <c r="B126" s="464"/>
      <c r="C126" s="464"/>
      <c r="D126" s="464"/>
      <c r="E126" s="464"/>
      <c r="F126" s="465" t="s">
        <v>371</v>
      </c>
    </row>
    <row r="127" spans="1:7" ht="23.25">
      <c r="A127" s="717" t="s">
        <v>372</v>
      </c>
      <c r="B127" s="717"/>
      <c r="C127" s="717"/>
      <c r="D127" s="717"/>
      <c r="E127" s="717"/>
      <c r="F127" s="717"/>
    </row>
    <row r="128" spans="1:7" ht="21.75">
      <c r="A128" s="464" t="str">
        <f>"ชื่อสถานประกอบการ ........................."&amp;CompanyProfile!$C$2&amp;"............................................................................  เลขที่บัญชี ............"&amp;CompanyProfile!$C$6&amp;"...................."</f>
        <v>ชื่อสถานประกอบการ .........................หจก.ศิวะกรเซฟตี้ จำกัด............................................................................  เลขที่บัญชี ............1234567890....................</v>
      </c>
      <c r="B128" s="464"/>
      <c r="C128" s="464"/>
      <c r="D128" s="464"/>
      <c r="E128" s="464"/>
      <c r="F128" s="464"/>
    </row>
    <row r="129" spans="1:6" ht="21.75">
      <c r="A129" s="464" t="s">
        <v>373</v>
      </c>
      <c r="B129" s="464"/>
      <c r="C129" s="464"/>
      <c r="D129" s="464"/>
      <c r="E129" s="464"/>
      <c r="F129" s="464"/>
    </row>
    <row r="130" spans="1:6" ht="21.75">
      <c r="A130" s="464" t="s">
        <v>374</v>
      </c>
      <c r="B130" s="464"/>
      <c r="C130" s="464"/>
      <c r="D130" s="464"/>
      <c r="E130" s="464"/>
      <c r="F130" s="464"/>
    </row>
    <row r="131" spans="1:6" ht="21.75">
      <c r="A131" s="464" t="s">
        <v>375</v>
      </c>
      <c r="B131" s="464"/>
      <c r="C131" s="464"/>
      <c r="D131" s="464"/>
      <c r="E131" s="466"/>
      <c r="F131" s="464"/>
    </row>
    <row r="132" spans="1:6" ht="21.75">
      <c r="A132" s="467" t="s">
        <v>123</v>
      </c>
      <c r="B132" s="714" t="s">
        <v>188</v>
      </c>
      <c r="C132" s="719" t="s">
        <v>376</v>
      </c>
      <c r="D132" s="467" t="s">
        <v>377</v>
      </c>
      <c r="E132" s="468" t="s">
        <v>46</v>
      </c>
      <c r="F132" s="467" t="s">
        <v>46</v>
      </c>
    </row>
    <row r="133" spans="1:6" ht="21.75">
      <c r="A133" s="469" t="s">
        <v>129</v>
      </c>
      <c r="B133" s="718"/>
      <c r="C133" s="720"/>
      <c r="D133" s="469" t="s">
        <v>378</v>
      </c>
      <c r="E133" s="470" t="s">
        <v>379</v>
      </c>
      <c r="F133" s="469" t="s">
        <v>380</v>
      </c>
    </row>
    <row r="134" spans="1:6" ht="21.75">
      <c r="A134" s="471"/>
      <c r="B134" s="715"/>
      <c r="C134" s="721"/>
      <c r="D134" s="472"/>
      <c r="E134" s="473" t="s">
        <v>381</v>
      </c>
      <c r="F134" s="471" t="s">
        <v>382</v>
      </c>
    </row>
    <row r="135" spans="1:6" ht="18">
      <c r="A135" s="474"/>
      <c r="B135" s="475"/>
      <c r="C135" s="476"/>
      <c r="D135" s="477"/>
      <c r="E135" s="478"/>
      <c r="F135" s="478"/>
    </row>
    <row r="136" spans="1:6" ht="18">
      <c r="A136" s="480"/>
      <c r="B136" s="481"/>
      <c r="C136" s="482"/>
      <c r="D136" s="483"/>
      <c r="E136" s="484"/>
      <c r="F136" s="484"/>
    </row>
    <row r="137" spans="1:6" ht="18">
      <c r="A137" s="480"/>
      <c r="B137" s="481"/>
      <c r="C137" s="482"/>
      <c r="D137" s="483"/>
      <c r="E137" s="484"/>
      <c r="F137" s="484"/>
    </row>
    <row r="138" spans="1:6" ht="18">
      <c r="A138" s="480"/>
      <c r="B138" s="481"/>
      <c r="C138" s="482"/>
      <c r="D138" s="483"/>
      <c r="E138" s="484"/>
      <c r="F138" s="484"/>
    </row>
    <row r="139" spans="1:6" ht="18">
      <c r="A139" s="480"/>
      <c r="B139" s="481"/>
      <c r="C139" s="482"/>
      <c r="D139" s="483"/>
      <c r="E139" s="484"/>
      <c r="F139" s="484"/>
    </row>
    <row r="140" spans="1:6" ht="18">
      <c r="A140" s="480"/>
      <c r="B140" s="481"/>
      <c r="C140" s="482"/>
      <c r="D140" s="483"/>
      <c r="E140" s="484"/>
      <c r="F140" s="484"/>
    </row>
    <row r="141" spans="1:6">
      <c r="A141" s="485"/>
      <c r="B141" s="486"/>
      <c r="C141" s="487"/>
      <c r="D141" s="488"/>
      <c r="E141" s="487"/>
      <c r="F141" s="487"/>
    </row>
    <row r="142" spans="1:6" ht="21.75">
      <c r="A142" s="464"/>
      <c r="B142" s="464"/>
      <c r="C142" s="464"/>
      <c r="D142" s="464"/>
      <c r="E142" s="464"/>
      <c r="F142" s="464"/>
    </row>
    <row r="143" spans="1:6" ht="21.75">
      <c r="A143" s="464"/>
      <c r="B143" s="464"/>
      <c r="C143" s="464"/>
      <c r="D143" s="464"/>
      <c r="E143" s="464"/>
      <c r="F143" s="464"/>
    </row>
    <row r="144" spans="1:6" ht="21.75">
      <c r="A144" s="464" t="s">
        <v>43</v>
      </c>
      <c r="B144" s="464" t="s">
        <v>383</v>
      </c>
      <c r="C144" s="464"/>
      <c r="D144" s="464" t="s">
        <v>384</v>
      </c>
      <c r="E144" s="464"/>
      <c r="F144" s="464"/>
    </row>
    <row r="145" spans="1:10" ht="21.75">
      <c r="A145" s="464"/>
      <c r="B145" s="464" t="s">
        <v>385</v>
      </c>
      <c r="C145" s="464"/>
      <c r="D145" s="464"/>
      <c r="E145" s="464"/>
      <c r="F145" s="464"/>
    </row>
    <row r="146" spans="1:10" ht="21.75">
      <c r="A146" s="464"/>
      <c r="B146" s="464"/>
      <c r="C146" s="464"/>
      <c r="D146" s="464"/>
      <c r="E146" s="464"/>
      <c r="F146" s="464"/>
    </row>
    <row r="147" spans="1:10" ht="21.75">
      <c r="A147" s="464"/>
      <c r="B147" s="464" t="s">
        <v>386</v>
      </c>
      <c r="C147" s="489" t="s">
        <v>33</v>
      </c>
      <c r="D147" s="464" t="s">
        <v>387</v>
      </c>
      <c r="E147" s="464"/>
      <c r="F147" s="464"/>
    </row>
    <row r="148" spans="1:10" ht="21.75">
      <c r="A148" s="464"/>
      <c r="B148" s="464" t="s">
        <v>388</v>
      </c>
      <c r="C148" s="464"/>
      <c r="D148" s="464" t="s">
        <v>511</v>
      </c>
      <c r="E148" s="464"/>
      <c r="F148" s="464"/>
    </row>
    <row r="149" spans="1:10" ht="21.75">
      <c r="A149" s="464"/>
      <c r="B149" s="464" t="s">
        <v>389</v>
      </c>
      <c r="C149" s="464"/>
      <c r="D149" s="464" t="s">
        <v>513</v>
      </c>
      <c r="E149" s="464"/>
      <c r="F149" s="464"/>
    </row>
    <row r="150" spans="1:10" ht="21.75">
      <c r="A150" s="464"/>
      <c r="B150" s="464" t="s">
        <v>390</v>
      </c>
      <c r="C150" s="464"/>
      <c r="D150" s="464" t="s">
        <v>391</v>
      </c>
      <c r="E150" s="464"/>
      <c r="F150" s="464"/>
    </row>
    <row r="156" spans="1:10" ht="21.75">
      <c r="A156" s="464"/>
      <c r="B156" s="464"/>
      <c r="C156" s="464"/>
      <c r="D156" s="464"/>
      <c r="E156" s="464"/>
      <c r="F156" s="464"/>
      <c r="G156" s="464"/>
      <c r="H156" s="464"/>
      <c r="I156" s="479" t="s">
        <v>392</v>
      </c>
      <c r="J156" s="464"/>
    </row>
    <row r="157" spans="1:10" ht="23.25">
      <c r="A157" s="717" t="s">
        <v>393</v>
      </c>
      <c r="B157" s="717"/>
      <c r="C157" s="717"/>
      <c r="D157" s="717"/>
      <c r="E157" s="717"/>
      <c r="F157" s="717"/>
      <c r="G157" s="717"/>
      <c r="H157" s="717"/>
      <c r="I157" s="717"/>
      <c r="J157" s="717"/>
    </row>
    <row r="158" spans="1:10" ht="21.75">
      <c r="A158" s="464"/>
      <c r="B158" s="464"/>
      <c r="C158" s="464"/>
      <c r="D158" s="464"/>
      <c r="E158" s="464"/>
      <c r="F158" s="464"/>
      <c r="G158" s="464"/>
      <c r="H158" s="464"/>
      <c r="I158" s="464"/>
      <c r="J158" s="464"/>
    </row>
    <row r="159" spans="1:10" ht="21.75">
      <c r="A159" s="464" t="str">
        <f>"ชื่อสถานประกอบการ ........................."&amp;CompanyProfile!$C$2&amp;"............................................................................  เลขที่บัญชี ............"&amp;CompanyProfile!$C$6&amp;"...................."</f>
        <v>ชื่อสถานประกอบการ .........................หจก.ศิวะกรเซฟตี้ จำกัด............................................................................  เลขที่บัญชี ............1234567890....................</v>
      </c>
      <c r="B159" s="464"/>
      <c r="C159" s="464"/>
      <c r="D159" s="464"/>
      <c r="E159" s="464"/>
      <c r="F159" s="464"/>
      <c r="G159" s="464"/>
      <c r="H159" s="464"/>
      <c r="I159" s="464"/>
      <c r="J159" s="464"/>
    </row>
    <row r="160" spans="1:10" ht="21.75">
      <c r="A160" s="464" t="s">
        <v>373</v>
      </c>
      <c r="B160" s="464"/>
      <c r="C160" s="464"/>
      <c r="D160" s="464"/>
      <c r="E160" s="464"/>
      <c r="F160" s="464"/>
      <c r="G160" s="464"/>
      <c r="H160" s="464"/>
      <c r="I160" s="464"/>
      <c r="J160" s="464"/>
    </row>
    <row r="161" spans="1:10" ht="21.75">
      <c r="A161" s="464" t="s">
        <v>374</v>
      </c>
      <c r="B161" s="464"/>
      <c r="C161" s="464"/>
      <c r="D161" s="464"/>
      <c r="E161" s="464"/>
      <c r="F161" s="464"/>
      <c r="G161" s="464"/>
      <c r="H161" s="464"/>
      <c r="I161" s="464"/>
      <c r="J161" s="464"/>
    </row>
    <row r="162" spans="1:10" ht="21.75">
      <c r="A162" s="464" t="s">
        <v>375</v>
      </c>
      <c r="B162" s="464"/>
      <c r="C162" s="464"/>
      <c r="D162" s="464"/>
      <c r="E162" s="466"/>
      <c r="F162" s="464"/>
      <c r="G162" s="464"/>
      <c r="H162" s="464"/>
      <c r="I162" s="464"/>
      <c r="J162" s="464"/>
    </row>
    <row r="163" spans="1:10" ht="21.75">
      <c r="A163" s="467" t="s">
        <v>123</v>
      </c>
      <c r="B163" s="714" t="s">
        <v>188</v>
      </c>
      <c r="C163" s="714" t="s">
        <v>376</v>
      </c>
      <c r="D163" s="467" t="s">
        <v>377</v>
      </c>
      <c r="E163" s="716" t="s">
        <v>394</v>
      </c>
      <c r="F163" s="716"/>
      <c r="G163" s="716"/>
      <c r="H163" s="716"/>
      <c r="I163" s="716"/>
      <c r="J163" s="716"/>
    </row>
    <row r="164" spans="1:10" ht="21.75">
      <c r="A164" s="471" t="s">
        <v>129</v>
      </c>
      <c r="B164" s="715"/>
      <c r="C164" s="715"/>
      <c r="D164" s="471" t="s">
        <v>395</v>
      </c>
      <c r="E164" s="471">
        <v>1</v>
      </c>
      <c r="F164" s="471">
        <v>2</v>
      </c>
      <c r="G164" s="471">
        <v>3</v>
      </c>
      <c r="H164" s="471">
        <v>4</v>
      </c>
      <c r="I164" s="471">
        <v>5</v>
      </c>
      <c r="J164" s="471">
        <v>6</v>
      </c>
    </row>
    <row r="165" spans="1:10">
      <c r="A165" s="474"/>
      <c r="B165" s="475"/>
      <c r="C165" s="476"/>
      <c r="D165" s="490"/>
      <c r="E165" s="474"/>
      <c r="F165" s="476"/>
      <c r="G165" s="476"/>
      <c r="H165" s="476"/>
      <c r="I165" s="476"/>
      <c r="J165" s="476"/>
    </row>
    <row r="166" spans="1:10">
      <c r="A166" s="480"/>
      <c r="B166" s="481"/>
      <c r="C166" s="482"/>
      <c r="D166" s="483"/>
      <c r="E166" s="480"/>
      <c r="F166" s="482"/>
      <c r="G166" s="482"/>
      <c r="H166" s="482"/>
      <c r="I166" s="482"/>
      <c r="J166" s="482"/>
    </row>
    <row r="167" spans="1:10">
      <c r="A167" s="480"/>
      <c r="B167" s="481"/>
      <c r="C167" s="482"/>
      <c r="D167" s="483"/>
      <c r="E167" s="480"/>
      <c r="F167" s="482"/>
      <c r="G167" s="482"/>
      <c r="H167" s="482"/>
      <c r="I167" s="482"/>
      <c r="J167" s="482"/>
    </row>
    <row r="168" spans="1:10">
      <c r="A168" s="480"/>
      <c r="B168" s="481"/>
      <c r="C168" s="482"/>
      <c r="D168" s="483"/>
      <c r="E168" s="480"/>
      <c r="F168" s="482"/>
      <c r="G168" s="482"/>
      <c r="H168" s="482"/>
      <c r="I168" s="482"/>
      <c r="J168" s="482"/>
    </row>
    <row r="169" spans="1:10">
      <c r="A169" s="480"/>
      <c r="B169" s="481"/>
      <c r="C169" s="482"/>
      <c r="D169" s="483"/>
      <c r="E169" s="480"/>
      <c r="F169" s="482"/>
      <c r="G169" s="482"/>
      <c r="H169" s="482"/>
      <c r="I169" s="482"/>
      <c r="J169" s="482"/>
    </row>
    <row r="170" spans="1:10">
      <c r="A170" s="480"/>
      <c r="B170" s="481"/>
      <c r="C170" s="482"/>
      <c r="D170" s="483"/>
      <c r="E170" s="480"/>
      <c r="F170" s="482"/>
      <c r="G170" s="482"/>
      <c r="H170" s="482"/>
      <c r="I170" s="482"/>
      <c r="J170" s="482"/>
    </row>
    <row r="171" spans="1:10">
      <c r="A171" s="491"/>
      <c r="B171" s="492"/>
      <c r="C171" s="493"/>
      <c r="D171" s="488"/>
      <c r="E171" s="491"/>
      <c r="F171" s="493"/>
      <c r="G171" s="493"/>
      <c r="H171" s="493"/>
      <c r="I171" s="493"/>
      <c r="J171" s="493"/>
    </row>
    <row r="172" spans="1:10" ht="21.75">
      <c r="A172" s="464"/>
      <c r="B172" s="464"/>
      <c r="C172" s="464"/>
      <c r="D172" s="464"/>
      <c r="E172" s="464"/>
      <c r="F172" s="464"/>
      <c r="G172" s="464"/>
      <c r="H172" s="464"/>
      <c r="I172" s="464"/>
      <c r="J172" s="464"/>
    </row>
    <row r="173" spans="1:10" ht="21.75">
      <c r="A173" s="464" t="s">
        <v>43</v>
      </c>
      <c r="B173" s="464" t="s">
        <v>383</v>
      </c>
      <c r="C173" s="464" t="s">
        <v>396</v>
      </c>
      <c r="D173" s="464"/>
      <c r="E173" s="464"/>
      <c r="F173" s="464"/>
      <c r="G173" s="494" t="s">
        <v>397</v>
      </c>
      <c r="H173" s="464"/>
      <c r="I173" s="464"/>
      <c r="J173" s="464"/>
    </row>
    <row r="174" spans="1:10" ht="21.75">
      <c r="A174" s="464"/>
      <c r="B174" s="464" t="s">
        <v>385</v>
      </c>
      <c r="C174" s="464"/>
      <c r="D174" s="464"/>
      <c r="E174" s="464"/>
      <c r="F174" s="464" t="s">
        <v>398</v>
      </c>
      <c r="G174" s="464"/>
      <c r="H174" s="464"/>
      <c r="I174" s="464"/>
      <c r="J174" s="464"/>
    </row>
    <row r="175" spans="1:10" ht="21.75">
      <c r="A175" s="464"/>
      <c r="B175" s="464"/>
      <c r="C175" s="464"/>
      <c r="D175" s="464"/>
      <c r="E175" s="464"/>
      <c r="F175" s="464" t="s">
        <v>399</v>
      </c>
      <c r="G175" s="464"/>
      <c r="H175" s="464"/>
      <c r="I175" s="464"/>
      <c r="J175" s="464"/>
    </row>
    <row r="176" spans="1:10" ht="21.75">
      <c r="A176" s="464"/>
      <c r="B176" s="464" t="s">
        <v>400</v>
      </c>
      <c r="C176" s="464" t="s">
        <v>401</v>
      </c>
      <c r="D176" s="464"/>
      <c r="E176" s="464"/>
      <c r="F176" s="464" t="s">
        <v>402</v>
      </c>
      <c r="G176" s="464"/>
      <c r="H176" s="464"/>
      <c r="I176" s="464"/>
      <c r="J176" s="464"/>
    </row>
    <row r="177" spans="1:10" ht="21.75">
      <c r="A177" s="464"/>
      <c r="B177" s="464" t="s">
        <v>403</v>
      </c>
      <c r="C177" s="464" t="s">
        <v>512</v>
      </c>
      <c r="D177" s="464"/>
      <c r="E177" s="464"/>
      <c r="F177" s="464" t="s">
        <v>404</v>
      </c>
      <c r="G177" s="464"/>
      <c r="H177" s="464"/>
      <c r="I177" s="464"/>
      <c r="J177" s="464"/>
    </row>
    <row r="178" spans="1:10" ht="21.75">
      <c r="A178" s="464"/>
      <c r="B178" s="464" t="s">
        <v>405</v>
      </c>
      <c r="C178" s="464" t="s">
        <v>516</v>
      </c>
      <c r="D178" s="464"/>
      <c r="E178" s="464"/>
      <c r="F178" s="464" t="s">
        <v>406</v>
      </c>
      <c r="G178" s="464"/>
      <c r="H178" s="464"/>
      <c r="I178" s="464"/>
      <c r="J178" s="464"/>
    </row>
    <row r="179" spans="1:10" ht="21.75">
      <c r="A179" s="464"/>
      <c r="B179" s="464" t="s">
        <v>407</v>
      </c>
      <c r="C179" s="464" t="s">
        <v>408</v>
      </c>
      <c r="D179" s="464"/>
      <c r="E179" s="464"/>
      <c r="F179" s="464" t="s">
        <v>409</v>
      </c>
      <c r="G179" s="464"/>
      <c r="H179" s="464"/>
      <c r="I179" s="464"/>
      <c r="J179" s="464"/>
    </row>
    <row r="180" spans="1:10" ht="21.75">
      <c r="A180" s="464"/>
      <c r="B180" s="464" t="s">
        <v>410</v>
      </c>
      <c r="C180" s="464"/>
      <c r="D180" s="464"/>
      <c r="E180" s="464"/>
      <c r="F180" s="464" t="s">
        <v>411</v>
      </c>
      <c r="G180" s="464"/>
      <c r="H180" s="464"/>
      <c r="I180" s="464"/>
      <c r="J180" s="464"/>
    </row>
  </sheetData>
  <mergeCells count="26">
    <mergeCell ref="G64:V64"/>
    <mergeCell ref="C66:O66"/>
    <mergeCell ref="Q66:U66"/>
    <mergeCell ref="V66:Y66"/>
    <mergeCell ref="Z66:AB66"/>
    <mergeCell ref="Z69:AA69"/>
    <mergeCell ref="F67:O67"/>
    <mergeCell ref="R67:S67"/>
    <mergeCell ref="T67:U67"/>
    <mergeCell ref="V67:Y67"/>
    <mergeCell ref="Z67:AB67"/>
    <mergeCell ref="T68:U68"/>
    <mergeCell ref="X68:Y68"/>
    <mergeCell ref="T69:U69"/>
    <mergeCell ref="B120:E120"/>
    <mergeCell ref="F120:G120"/>
    <mergeCell ref="X69:Y69"/>
    <mergeCell ref="B163:B164"/>
    <mergeCell ref="C163:C164"/>
    <mergeCell ref="E163:J163"/>
    <mergeCell ref="A127:F127"/>
    <mergeCell ref="B132:B134"/>
    <mergeCell ref="C132:C134"/>
    <mergeCell ref="A157:J157"/>
    <mergeCell ref="B118:E118"/>
    <mergeCell ref="B119:E119"/>
  </mergeCells>
  <phoneticPr fontId="27" type="noConversion"/>
  <conditionalFormatting sqref="C54:C56">
    <cfRule type="expression" dxfId="17" priority="1" stopIfTrue="1">
      <formula>$AD54&gt;0</formula>
    </cfRule>
  </conditionalFormatting>
  <pageMargins left="0.75" right="0.75" top="1" bottom="1" header="0.5" footer="0.5"/>
  <pageSetup paperSize="9" orientation="portrait" horizontalDpi="300" verticalDpi="300" r:id="rId1"/>
  <headerFooter alignWithMargins="0"/>
  <ignoredErrors>
    <ignoredError sqref="AB73" numberStoredAsText="1"/>
  </ignoredError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1">
    <tabColor indexed="14"/>
  </sheetPr>
  <dimension ref="A1:X20"/>
  <sheetViews>
    <sheetView zoomScale="120" zoomScaleNormal="120" workbookViewId="0">
      <pane xSplit="4" ySplit="1" topLeftCell="E2" activePane="bottomRight" state="frozen"/>
      <selection pane="topRight" activeCell="E1" sqref="E1"/>
      <selection pane="bottomLeft" activeCell="A6" sqref="A6"/>
      <selection pane="bottomRight" activeCell="A20" sqref="A20"/>
    </sheetView>
  </sheetViews>
  <sheetFormatPr defaultRowHeight="10.5"/>
  <cols>
    <col min="1" max="1" width="9" style="202" customWidth="1"/>
    <col min="2" max="2" width="5.85546875" style="199" customWidth="1"/>
    <col min="3" max="3" width="8.5703125" style="200" customWidth="1"/>
    <col min="4" max="4" width="11.5703125" style="201" customWidth="1"/>
    <col min="5" max="5" width="15.140625" style="196" customWidth="1"/>
    <col min="6" max="6" width="13.85546875" style="196" customWidth="1"/>
    <col min="7" max="7" width="7.5703125" style="196" customWidth="1"/>
    <col min="8" max="8" width="12.42578125" style="208" customWidth="1"/>
    <col min="9" max="9" width="10.85546875" style="196" customWidth="1"/>
    <col min="10" max="11" width="7.5703125" style="196" bestFit="1" customWidth="1"/>
    <col min="12" max="12" width="12" style="197" customWidth="1"/>
    <col min="13" max="13" width="14.140625" style="196" bestFit="1" customWidth="1"/>
    <col min="14" max="14" width="14.140625" style="196" customWidth="1"/>
    <col min="15" max="15" width="14.28515625" style="206" customWidth="1"/>
    <col min="16" max="16" width="12.140625" style="196" customWidth="1"/>
    <col min="17" max="17" width="11.140625" style="459" customWidth="1"/>
    <col min="18" max="20" width="7.42578125" style="459" customWidth="1"/>
    <col min="21" max="22" width="14.28515625" style="206" customWidth="1"/>
    <col min="23" max="23" width="9.140625" style="322"/>
    <col min="24" max="16384" width="9.140625" style="198"/>
  </cols>
  <sheetData>
    <row r="1" spans="1:22" s="496" customFormat="1" ht="32.25" customHeight="1">
      <c r="A1" s="495" t="s">
        <v>194</v>
      </c>
      <c r="B1" s="495" t="s">
        <v>166</v>
      </c>
      <c r="C1" s="495" t="s">
        <v>80</v>
      </c>
      <c r="D1" s="495" t="s">
        <v>167</v>
      </c>
      <c r="E1" s="495" t="s">
        <v>69</v>
      </c>
      <c r="F1" s="495" t="s">
        <v>117</v>
      </c>
      <c r="G1" s="495" t="s">
        <v>177</v>
      </c>
      <c r="H1" s="495" t="s">
        <v>73</v>
      </c>
      <c r="I1" s="672" t="s">
        <v>214</v>
      </c>
      <c r="J1" s="672" t="s">
        <v>444</v>
      </c>
      <c r="K1" s="495" t="s">
        <v>443</v>
      </c>
      <c r="L1" s="495" t="s">
        <v>217</v>
      </c>
      <c r="M1" s="495" t="s">
        <v>202</v>
      </c>
      <c r="N1" s="495" t="s">
        <v>203</v>
      </c>
      <c r="O1" s="495" t="s">
        <v>204</v>
      </c>
      <c r="P1" s="495" t="s">
        <v>208</v>
      </c>
      <c r="Q1" s="495" t="s">
        <v>205</v>
      </c>
      <c r="R1" s="495" t="s">
        <v>416</v>
      </c>
      <c r="S1" s="495" t="s">
        <v>417</v>
      </c>
      <c r="T1" s="495" t="s">
        <v>418</v>
      </c>
      <c r="U1" s="495" t="s">
        <v>206</v>
      </c>
      <c r="V1" s="495" t="s">
        <v>207</v>
      </c>
    </row>
    <row r="2" spans="1:22">
      <c r="A2" s="202" t="s">
        <v>556</v>
      </c>
      <c r="B2" s="199" t="s">
        <v>427</v>
      </c>
      <c r="C2" s="200" t="s">
        <v>549</v>
      </c>
      <c r="D2" s="201" t="s">
        <v>550</v>
      </c>
      <c r="E2" s="196">
        <v>1234567890123</v>
      </c>
      <c r="F2" s="196">
        <v>1234567890123</v>
      </c>
      <c r="G2" s="196" t="s">
        <v>551</v>
      </c>
      <c r="H2" s="208">
        <v>1234567890</v>
      </c>
      <c r="I2" s="196" t="s">
        <v>552</v>
      </c>
      <c r="J2" s="196" t="s">
        <v>555</v>
      </c>
      <c r="K2" s="196" t="s">
        <v>555</v>
      </c>
      <c r="L2" s="197">
        <v>10000</v>
      </c>
      <c r="M2" s="196" t="s">
        <v>553</v>
      </c>
      <c r="N2" s="196" t="s">
        <v>554</v>
      </c>
      <c r="O2" s="206">
        <v>30968</v>
      </c>
      <c r="P2" s="196" t="s">
        <v>209</v>
      </c>
      <c r="Q2" s="459">
        <f ca="1">YEAR(TODAY())-YEAR(O2)</f>
        <v>30</v>
      </c>
      <c r="R2" s="459">
        <f ca="1">DATEDIF(U2,TODAY(),"Y")</f>
        <v>1</v>
      </c>
      <c r="S2" s="459">
        <f ca="1">DATEDIF(U2,TODAY(),"YM")</f>
        <v>1</v>
      </c>
      <c r="T2" s="459">
        <f ca="1">DATEDIF(U2,TODAY(),"MD")</f>
        <v>6</v>
      </c>
      <c r="U2" s="206">
        <v>41275</v>
      </c>
    </row>
    <row r="20" spans="24:24" ht="21.75">
      <c r="X20" s="709"/>
    </row>
  </sheetData>
  <autoFilter ref="A1:V114"/>
  <phoneticPr fontId="27" type="noConversion"/>
  <conditionalFormatting sqref="A2:W65536 Y2:XFD65536 X2:X19 X21:X65536">
    <cfRule type="expression" dxfId="16" priority="1" stopIfTrue="1">
      <formula>$V2&gt;0</formula>
    </cfRule>
  </conditionalFormatting>
  <printOptions horizontalCentered="1"/>
  <pageMargins left="0" right="0" top="0.39370078740157483" bottom="0.19685039370078741" header="0" footer="0"/>
  <pageSetup paperSize="9" scale="70" orientation="landscape" horizontalDpi="360" verticalDpi="360" r:id="rId1"/>
  <headerFooter alignWithMargins="0">
    <oddFooter>&amp;LPayroll detail&amp;RPage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3" enableFormatConditionsCalculation="0">
    <tabColor indexed="14"/>
  </sheetPr>
  <dimension ref="A1:V118"/>
  <sheetViews>
    <sheetView workbookViewId="0">
      <pane xSplit="4" ySplit="1" topLeftCell="E2" activePane="bottomRight" state="frozen"/>
      <selection pane="topRight" activeCell="E1" sqref="E1"/>
      <selection pane="bottomLeft" activeCell="A6" sqref="A6"/>
      <selection pane="bottomRight" activeCell="C2" sqref="C2"/>
    </sheetView>
  </sheetViews>
  <sheetFormatPr defaultRowHeight="18"/>
  <cols>
    <col min="1" max="1" width="8" style="202" customWidth="1"/>
    <col min="2" max="2" width="5.85546875" style="203" customWidth="1"/>
    <col min="3" max="3" width="8.5703125" style="204" customWidth="1"/>
    <col min="4" max="4" width="11.5703125" style="204" customWidth="1"/>
    <col min="5" max="5" width="15" style="205" customWidth="1"/>
    <col min="6" max="16" width="10.85546875" style="205" customWidth="1"/>
    <col min="17" max="18" width="10.85546875" style="210" customWidth="1"/>
    <col min="19" max="19" width="12.28515625" style="210" customWidth="1"/>
    <col min="20" max="22" width="10.85546875" style="210" customWidth="1"/>
    <col min="23" max="16384" width="9.140625" style="204"/>
  </cols>
  <sheetData>
    <row r="1" spans="1:22" s="195" customFormat="1" ht="67.5">
      <c r="A1" s="454" t="s">
        <v>194</v>
      </c>
      <c r="B1" s="455" t="s">
        <v>166</v>
      </c>
      <c r="C1" s="456" t="s">
        <v>80</v>
      </c>
      <c r="D1" s="454" t="s">
        <v>167</v>
      </c>
      <c r="E1" s="193" t="s">
        <v>171</v>
      </c>
      <c r="F1" s="193" t="s">
        <v>157</v>
      </c>
      <c r="G1" s="193" t="s">
        <v>158</v>
      </c>
      <c r="H1" s="193" t="s">
        <v>314</v>
      </c>
      <c r="I1" s="193" t="s">
        <v>231</v>
      </c>
      <c r="J1" s="193" t="s">
        <v>232</v>
      </c>
      <c r="K1" s="193" t="s">
        <v>229</v>
      </c>
      <c r="L1" s="193" t="s">
        <v>230</v>
      </c>
      <c r="M1" s="193" t="s">
        <v>304</v>
      </c>
      <c r="N1" s="193" t="s">
        <v>305</v>
      </c>
      <c r="O1" s="193" t="s">
        <v>306</v>
      </c>
      <c r="P1" s="193" t="s">
        <v>307</v>
      </c>
      <c r="Q1" s="194" t="s">
        <v>159</v>
      </c>
      <c r="R1" s="194" t="s">
        <v>160</v>
      </c>
      <c r="S1" s="194" t="s">
        <v>161</v>
      </c>
      <c r="T1" s="194" t="s">
        <v>172</v>
      </c>
      <c r="U1" s="194" t="s">
        <v>162</v>
      </c>
      <c r="V1" s="194" t="s">
        <v>163</v>
      </c>
    </row>
    <row r="2" spans="1:22" s="198" customFormat="1" ht="10.5">
      <c r="A2" s="457" t="str">
        <f>Employee!A2</f>
        <v>SWK56001</v>
      </c>
      <c r="B2" s="458" t="str">
        <f>Employee!B2</f>
        <v>นางสาว</v>
      </c>
      <c r="C2" s="458" t="str">
        <f>Employee!C2</f>
        <v>สุคนธ์</v>
      </c>
      <c r="D2" s="458" t="str">
        <f>Employee!D2</f>
        <v>พูลพุฒ</v>
      </c>
      <c r="E2" s="196">
        <v>1</v>
      </c>
      <c r="F2" s="196">
        <v>0</v>
      </c>
      <c r="G2" s="196">
        <v>0</v>
      </c>
      <c r="H2" s="298">
        <v>0</v>
      </c>
      <c r="I2" s="209">
        <v>0</v>
      </c>
      <c r="J2" s="209">
        <v>0</v>
      </c>
      <c r="K2" s="209">
        <v>0</v>
      </c>
      <c r="L2" s="209">
        <v>0</v>
      </c>
      <c r="M2" s="209">
        <v>0</v>
      </c>
      <c r="N2" s="209">
        <v>0</v>
      </c>
      <c r="O2" s="209">
        <v>0</v>
      </c>
      <c r="P2" s="209">
        <v>0</v>
      </c>
      <c r="Q2" s="209">
        <v>0</v>
      </c>
      <c r="R2" s="209">
        <v>0</v>
      </c>
      <c r="S2" s="209">
        <v>0</v>
      </c>
      <c r="T2" s="209">
        <v>0</v>
      </c>
      <c r="U2" s="209">
        <v>0</v>
      </c>
      <c r="V2" s="209">
        <v>0</v>
      </c>
    </row>
    <row r="3" spans="1:22" s="198" customFormat="1" ht="10.5">
      <c r="A3" s="457">
        <f>Employee!A3</f>
        <v>0</v>
      </c>
      <c r="B3" s="458">
        <f>Employee!B3</f>
        <v>0</v>
      </c>
      <c r="C3" s="458">
        <f>Employee!C3</f>
        <v>0</v>
      </c>
      <c r="D3" s="458">
        <f>Employee!D3</f>
        <v>0</v>
      </c>
      <c r="E3" s="196">
        <v>2</v>
      </c>
      <c r="F3" s="196">
        <v>1</v>
      </c>
      <c r="G3" s="196">
        <v>0</v>
      </c>
      <c r="H3" s="298">
        <f t="shared" ref="H3:H16" si="0">SUM(I3:V3)</f>
        <v>0</v>
      </c>
      <c r="I3" s="196"/>
      <c r="J3" s="196"/>
      <c r="K3" s="196"/>
      <c r="L3" s="196"/>
      <c r="M3" s="196"/>
      <c r="N3" s="196"/>
      <c r="O3" s="196"/>
      <c r="P3" s="196"/>
      <c r="Q3" s="209"/>
      <c r="R3" s="209"/>
      <c r="S3" s="209"/>
      <c r="T3" s="209"/>
      <c r="U3" s="209"/>
      <c r="V3" s="209"/>
    </row>
    <row r="4" spans="1:22" s="198" customFormat="1" ht="10.5">
      <c r="A4" s="457">
        <f>Employee!A4</f>
        <v>0</v>
      </c>
      <c r="B4" s="458">
        <f>Employee!B4</f>
        <v>0</v>
      </c>
      <c r="C4" s="458">
        <f>Employee!C4</f>
        <v>0</v>
      </c>
      <c r="D4" s="458">
        <f>Employee!D4</f>
        <v>0</v>
      </c>
      <c r="E4" s="196">
        <v>1</v>
      </c>
      <c r="F4" s="196">
        <v>0</v>
      </c>
      <c r="G4" s="196">
        <v>0</v>
      </c>
      <c r="H4" s="298">
        <f t="shared" si="0"/>
        <v>0</v>
      </c>
      <c r="I4" s="196"/>
      <c r="J4" s="196"/>
      <c r="K4" s="196"/>
      <c r="L4" s="196"/>
      <c r="M4" s="196"/>
      <c r="N4" s="196"/>
      <c r="O4" s="196"/>
      <c r="P4" s="196"/>
      <c r="Q4" s="209"/>
      <c r="R4" s="209"/>
      <c r="S4" s="209"/>
      <c r="T4" s="209"/>
      <c r="U4" s="209"/>
      <c r="V4" s="209"/>
    </row>
    <row r="5" spans="1:22" s="198" customFormat="1" ht="10.5">
      <c r="A5" s="457">
        <f>Employee!A5</f>
        <v>0</v>
      </c>
      <c r="B5" s="458">
        <f>Employee!B5</f>
        <v>0</v>
      </c>
      <c r="C5" s="458">
        <f>Employee!C5</f>
        <v>0</v>
      </c>
      <c r="D5" s="458">
        <f>Employee!D5</f>
        <v>0</v>
      </c>
      <c r="E5" s="196">
        <v>1</v>
      </c>
      <c r="F5" s="196">
        <v>0</v>
      </c>
      <c r="G5" s="196">
        <v>0</v>
      </c>
      <c r="H5" s="298">
        <f t="shared" si="0"/>
        <v>0</v>
      </c>
      <c r="I5" s="196"/>
      <c r="J5" s="196"/>
      <c r="K5" s="196"/>
      <c r="L5" s="196"/>
      <c r="M5" s="196"/>
      <c r="N5" s="196"/>
      <c r="O5" s="196"/>
      <c r="P5" s="196"/>
      <c r="Q5" s="209"/>
      <c r="R5" s="209"/>
      <c r="S5" s="209"/>
      <c r="T5" s="209"/>
      <c r="U5" s="209"/>
      <c r="V5" s="209"/>
    </row>
    <row r="6" spans="1:22" s="198" customFormat="1" ht="10.5">
      <c r="A6" s="457">
        <f>Employee!A6</f>
        <v>0</v>
      </c>
      <c r="B6" s="458">
        <f>Employee!B6</f>
        <v>0</v>
      </c>
      <c r="C6" s="458">
        <f>Employee!C6</f>
        <v>0</v>
      </c>
      <c r="D6" s="458">
        <f>Employee!D6</f>
        <v>0</v>
      </c>
      <c r="E6" s="196">
        <v>1</v>
      </c>
      <c r="F6" s="196">
        <v>0</v>
      </c>
      <c r="G6" s="196">
        <v>0</v>
      </c>
      <c r="H6" s="298">
        <f t="shared" si="0"/>
        <v>0</v>
      </c>
      <c r="I6" s="196"/>
      <c r="J6" s="196"/>
      <c r="K6" s="196"/>
      <c r="L6" s="196"/>
      <c r="M6" s="196"/>
      <c r="N6" s="196"/>
      <c r="O6" s="196"/>
      <c r="P6" s="196"/>
      <c r="Q6" s="209"/>
      <c r="R6" s="209"/>
      <c r="S6" s="209"/>
      <c r="T6" s="209"/>
      <c r="U6" s="209"/>
      <c r="V6" s="209"/>
    </row>
    <row r="7" spans="1:22" s="198" customFormat="1" ht="10.5">
      <c r="A7" s="457">
        <f>Employee!A7</f>
        <v>0</v>
      </c>
      <c r="B7" s="458">
        <f>Employee!B7</f>
        <v>0</v>
      </c>
      <c r="C7" s="458">
        <f>Employee!C7</f>
        <v>0</v>
      </c>
      <c r="D7" s="458">
        <f>Employee!D7</f>
        <v>0</v>
      </c>
      <c r="E7" s="196">
        <v>1</v>
      </c>
      <c r="F7" s="196">
        <v>0</v>
      </c>
      <c r="G7" s="196">
        <v>0</v>
      </c>
      <c r="H7" s="298">
        <f t="shared" si="0"/>
        <v>0</v>
      </c>
      <c r="I7" s="196"/>
      <c r="J7" s="196"/>
      <c r="K7" s="196"/>
      <c r="L7" s="196"/>
      <c r="M7" s="196"/>
      <c r="N7" s="196"/>
      <c r="O7" s="196"/>
      <c r="P7" s="196"/>
      <c r="Q7" s="209"/>
      <c r="R7" s="209"/>
      <c r="S7" s="209"/>
      <c r="T7" s="209"/>
      <c r="U7" s="209"/>
      <c r="V7" s="209"/>
    </row>
    <row r="8" spans="1:22" s="198" customFormat="1" ht="10.5">
      <c r="A8" s="457">
        <f>Employee!A8</f>
        <v>0</v>
      </c>
      <c r="B8" s="458">
        <f>Employee!B8</f>
        <v>0</v>
      </c>
      <c r="C8" s="458">
        <f>Employee!C8</f>
        <v>0</v>
      </c>
      <c r="D8" s="458">
        <f>Employee!D8</f>
        <v>0</v>
      </c>
      <c r="E8" s="196">
        <v>1</v>
      </c>
      <c r="F8" s="196">
        <v>0</v>
      </c>
      <c r="G8" s="196">
        <v>0</v>
      </c>
      <c r="H8" s="298">
        <f t="shared" si="0"/>
        <v>0</v>
      </c>
      <c r="I8" s="196"/>
      <c r="J8" s="196"/>
      <c r="K8" s="196"/>
      <c r="L8" s="196"/>
      <c r="M8" s="196"/>
      <c r="N8" s="196"/>
      <c r="O8" s="196"/>
      <c r="P8" s="196"/>
      <c r="Q8" s="209"/>
      <c r="R8" s="209"/>
      <c r="S8" s="209"/>
      <c r="T8" s="209"/>
      <c r="U8" s="209"/>
      <c r="V8" s="209"/>
    </row>
    <row r="9" spans="1:22" s="198" customFormat="1" ht="10.5">
      <c r="A9" s="457">
        <f>Employee!A9</f>
        <v>0</v>
      </c>
      <c r="B9" s="458">
        <f>Employee!B9</f>
        <v>0</v>
      </c>
      <c r="C9" s="458">
        <f>Employee!C9</f>
        <v>0</v>
      </c>
      <c r="D9" s="458">
        <f>Employee!D9</f>
        <v>0</v>
      </c>
      <c r="E9" s="196">
        <v>1</v>
      </c>
      <c r="F9" s="196">
        <v>0</v>
      </c>
      <c r="G9" s="196">
        <v>0</v>
      </c>
      <c r="H9" s="298">
        <f t="shared" si="0"/>
        <v>0</v>
      </c>
      <c r="I9" s="196"/>
      <c r="J9" s="196"/>
      <c r="K9" s="196"/>
      <c r="L9" s="196"/>
      <c r="M9" s="196"/>
      <c r="N9" s="196"/>
      <c r="O9" s="196"/>
      <c r="P9" s="196"/>
      <c r="Q9" s="209"/>
      <c r="R9" s="209"/>
      <c r="S9" s="209"/>
      <c r="T9" s="209"/>
      <c r="U9" s="209"/>
      <c r="V9" s="209"/>
    </row>
    <row r="10" spans="1:22" s="198" customFormat="1" ht="10.5">
      <c r="A10" s="457">
        <f>Employee!A10</f>
        <v>0</v>
      </c>
      <c r="B10" s="458">
        <f>Employee!B10</f>
        <v>0</v>
      </c>
      <c r="C10" s="458">
        <f>Employee!C10</f>
        <v>0</v>
      </c>
      <c r="D10" s="458">
        <f>Employee!D10</f>
        <v>0</v>
      </c>
      <c r="E10" s="196">
        <v>1</v>
      </c>
      <c r="F10" s="196">
        <v>0</v>
      </c>
      <c r="G10" s="196">
        <v>0</v>
      </c>
      <c r="H10" s="298">
        <f t="shared" si="0"/>
        <v>0</v>
      </c>
      <c r="I10" s="196"/>
      <c r="J10" s="196"/>
      <c r="K10" s="196"/>
      <c r="L10" s="196"/>
      <c r="M10" s="196"/>
      <c r="N10" s="196"/>
      <c r="O10" s="196"/>
      <c r="P10" s="196"/>
      <c r="Q10" s="209"/>
      <c r="R10" s="209"/>
      <c r="S10" s="209"/>
      <c r="T10" s="209"/>
      <c r="U10" s="209"/>
      <c r="V10" s="209"/>
    </row>
    <row r="11" spans="1:22" s="198" customFormat="1" ht="10.5">
      <c r="A11" s="457">
        <f>Employee!A11</f>
        <v>0</v>
      </c>
      <c r="B11" s="458">
        <f>Employee!B11</f>
        <v>0</v>
      </c>
      <c r="C11" s="458">
        <f>Employee!C11</f>
        <v>0</v>
      </c>
      <c r="D11" s="458">
        <f>Employee!D11</f>
        <v>0</v>
      </c>
      <c r="E11" s="196">
        <v>1</v>
      </c>
      <c r="F11" s="196">
        <v>0</v>
      </c>
      <c r="G11" s="196">
        <v>0</v>
      </c>
      <c r="H11" s="298">
        <f t="shared" si="0"/>
        <v>0</v>
      </c>
      <c r="I11" s="196"/>
      <c r="J11" s="196"/>
      <c r="K11" s="196"/>
      <c r="L11" s="196"/>
      <c r="M11" s="196"/>
      <c r="N11" s="196"/>
      <c r="O11" s="196"/>
      <c r="P11" s="196"/>
      <c r="Q11" s="209"/>
      <c r="R11" s="209"/>
      <c r="S11" s="209"/>
      <c r="T11" s="209"/>
      <c r="U11" s="209"/>
      <c r="V11" s="209"/>
    </row>
    <row r="12" spans="1:22" s="198" customFormat="1" ht="10.5">
      <c r="A12" s="457">
        <f>Employee!A12</f>
        <v>0</v>
      </c>
      <c r="B12" s="458">
        <f>Employee!B12</f>
        <v>0</v>
      </c>
      <c r="C12" s="458">
        <f>Employee!C12</f>
        <v>0</v>
      </c>
      <c r="D12" s="458">
        <f>Employee!D12</f>
        <v>0</v>
      </c>
      <c r="E12" s="196">
        <v>1</v>
      </c>
      <c r="F12" s="196">
        <v>0</v>
      </c>
      <c r="G12" s="196">
        <v>0</v>
      </c>
      <c r="H12" s="298">
        <f t="shared" si="0"/>
        <v>0</v>
      </c>
      <c r="I12" s="196"/>
      <c r="J12" s="196"/>
      <c r="K12" s="196"/>
      <c r="L12" s="196"/>
      <c r="M12" s="196"/>
      <c r="N12" s="196"/>
      <c r="O12" s="196"/>
      <c r="P12" s="196"/>
      <c r="Q12" s="209"/>
      <c r="R12" s="209"/>
      <c r="S12" s="209"/>
      <c r="T12" s="209"/>
      <c r="U12" s="209"/>
      <c r="V12" s="209"/>
    </row>
    <row r="13" spans="1:22" s="198" customFormat="1" ht="10.5">
      <c r="A13" s="457">
        <f>Employee!A13</f>
        <v>0</v>
      </c>
      <c r="B13" s="458">
        <f>Employee!B13</f>
        <v>0</v>
      </c>
      <c r="C13" s="458">
        <f>Employee!C13</f>
        <v>0</v>
      </c>
      <c r="D13" s="458">
        <f>Employee!D13</f>
        <v>0</v>
      </c>
      <c r="E13" s="196">
        <v>1</v>
      </c>
      <c r="F13" s="196">
        <v>0</v>
      </c>
      <c r="G13" s="196">
        <v>0</v>
      </c>
      <c r="H13" s="298">
        <f t="shared" si="0"/>
        <v>0</v>
      </c>
      <c r="I13" s="196"/>
      <c r="J13" s="196"/>
      <c r="K13" s="196"/>
      <c r="L13" s="196"/>
      <c r="M13" s="196"/>
      <c r="N13" s="196"/>
      <c r="O13" s="196"/>
      <c r="P13" s="196"/>
      <c r="Q13" s="209"/>
      <c r="R13" s="209"/>
      <c r="S13" s="209"/>
      <c r="T13" s="209"/>
      <c r="U13" s="209"/>
      <c r="V13" s="209"/>
    </row>
    <row r="14" spans="1:22" s="198" customFormat="1" ht="10.5">
      <c r="A14" s="457">
        <f>Employee!A14</f>
        <v>0</v>
      </c>
      <c r="B14" s="458">
        <f>Employee!B14</f>
        <v>0</v>
      </c>
      <c r="C14" s="458">
        <f>Employee!C14</f>
        <v>0</v>
      </c>
      <c r="D14" s="458">
        <f>Employee!D14</f>
        <v>0</v>
      </c>
      <c r="E14" s="196">
        <v>1</v>
      </c>
      <c r="F14" s="196">
        <v>0</v>
      </c>
      <c r="G14" s="196">
        <v>0</v>
      </c>
      <c r="H14" s="298">
        <f t="shared" si="0"/>
        <v>0</v>
      </c>
      <c r="I14" s="196"/>
      <c r="J14" s="196"/>
      <c r="K14" s="196"/>
      <c r="L14" s="196"/>
      <c r="M14" s="196"/>
      <c r="N14" s="196"/>
      <c r="O14" s="196"/>
      <c r="P14" s="196"/>
      <c r="Q14" s="209"/>
      <c r="R14" s="209"/>
      <c r="S14" s="209"/>
      <c r="T14" s="209"/>
      <c r="U14" s="209"/>
      <c r="V14" s="209"/>
    </row>
    <row r="15" spans="1:22" s="198" customFormat="1" ht="10.5">
      <c r="A15" s="457">
        <f>Employee!A15</f>
        <v>0</v>
      </c>
      <c r="B15" s="458">
        <f>Employee!B15</f>
        <v>0</v>
      </c>
      <c r="C15" s="458">
        <f>Employee!C15</f>
        <v>0</v>
      </c>
      <c r="D15" s="458">
        <f>Employee!D15</f>
        <v>0</v>
      </c>
      <c r="E15" s="196">
        <v>1</v>
      </c>
      <c r="F15" s="196">
        <v>0</v>
      </c>
      <c r="G15" s="196">
        <v>0</v>
      </c>
      <c r="H15" s="298">
        <f t="shared" si="0"/>
        <v>0</v>
      </c>
      <c r="I15" s="196"/>
      <c r="J15" s="196"/>
      <c r="K15" s="196"/>
      <c r="L15" s="196"/>
      <c r="M15" s="196"/>
      <c r="N15" s="196"/>
      <c r="O15" s="196"/>
      <c r="P15" s="196"/>
      <c r="Q15" s="209"/>
      <c r="R15" s="209"/>
      <c r="S15" s="209"/>
      <c r="T15" s="209"/>
      <c r="U15" s="209"/>
      <c r="V15" s="209"/>
    </row>
    <row r="16" spans="1:22" s="198" customFormat="1" ht="10.5">
      <c r="A16" s="457">
        <f>Employee!A16</f>
        <v>0</v>
      </c>
      <c r="B16" s="458">
        <f>Employee!B16</f>
        <v>0</v>
      </c>
      <c r="C16" s="458">
        <f>Employee!C16</f>
        <v>0</v>
      </c>
      <c r="D16" s="458">
        <f>Employee!D16</f>
        <v>0</v>
      </c>
      <c r="E16" s="196">
        <v>1</v>
      </c>
      <c r="F16" s="196">
        <v>0</v>
      </c>
      <c r="G16" s="196">
        <v>0</v>
      </c>
      <c r="H16" s="298">
        <f t="shared" si="0"/>
        <v>0</v>
      </c>
      <c r="I16" s="196"/>
      <c r="J16" s="196"/>
      <c r="K16" s="196"/>
      <c r="L16" s="196"/>
      <c r="M16" s="196"/>
      <c r="N16" s="196"/>
      <c r="O16" s="196"/>
      <c r="P16" s="196"/>
      <c r="Q16" s="209"/>
      <c r="R16" s="209"/>
      <c r="S16" s="209"/>
      <c r="T16" s="209"/>
      <c r="U16" s="209"/>
      <c r="V16" s="209"/>
    </row>
    <row r="17" spans="1:22" s="198" customFormat="1" ht="10.5">
      <c r="A17" s="457">
        <f>Employee!A17</f>
        <v>0</v>
      </c>
      <c r="B17" s="458">
        <f>Employee!B17</f>
        <v>0</v>
      </c>
      <c r="C17" s="458">
        <f>Employee!C17</f>
        <v>0</v>
      </c>
      <c r="D17" s="458">
        <f>Employee!D17</f>
        <v>0</v>
      </c>
      <c r="E17" s="196">
        <v>1</v>
      </c>
      <c r="F17" s="196">
        <v>0</v>
      </c>
      <c r="G17" s="196">
        <v>0</v>
      </c>
      <c r="H17" s="298">
        <f t="shared" ref="H17:H52" si="1">SUM(I17:V17)</f>
        <v>0</v>
      </c>
      <c r="I17" s="196"/>
      <c r="J17" s="196"/>
      <c r="K17" s="196"/>
      <c r="L17" s="196"/>
      <c r="M17" s="196"/>
      <c r="N17" s="196"/>
      <c r="O17" s="196"/>
      <c r="P17" s="196"/>
      <c r="Q17" s="209"/>
      <c r="R17" s="209"/>
      <c r="S17" s="209"/>
      <c r="T17" s="209"/>
      <c r="U17" s="209"/>
      <c r="V17" s="209"/>
    </row>
    <row r="18" spans="1:22" s="198" customFormat="1" ht="10.5">
      <c r="A18" s="457">
        <f>Employee!A18</f>
        <v>0</v>
      </c>
      <c r="B18" s="458">
        <f>Employee!B18</f>
        <v>0</v>
      </c>
      <c r="C18" s="458">
        <f>Employee!C18</f>
        <v>0</v>
      </c>
      <c r="D18" s="458">
        <f>Employee!D18</f>
        <v>0</v>
      </c>
      <c r="E18" s="196">
        <v>1</v>
      </c>
      <c r="F18" s="196">
        <v>0</v>
      </c>
      <c r="G18" s="196">
        <v>0</v>
      </c>
      <c r="H18" s="298">
        <f t="shared" si="1"/>
        <v>0</v>
      </c>
      <c r="I18" s="196"/>
      <c r="J18" s="196"/>
      <c r="K18" s="196"/>
      <c r="L18" s="196"/>
      <c r="M18" s="196"/>
      <c r="N18" s="196"/>
      <c r="O18" s="196"/>
      <c r="P18" s="196"/>
      <c r="Q18" s="209"/>
      <c r="R18" s="209"/>
      <c r="S18" s="209"/>
      <c r="T18" s="209"/>
      <c r="U18" s="209"/>
      <c r="V18" s="209"/>
    </row>
    <row r="19" spans="1:22" s="198" customFormat="1" ht="10.5">
      <c r="A19" s="457">
        <f>Employee!A19</f>
        <v>0</v>
      </c>
      <c r="B19" s="458">
        <f>Employee!B19</f>
        <v>0</v>
      </c>
      <c r="C19" s="458">
        <f>Employee!C19</f>
        <v>0</v>
      </c>
      <c r="D19" s="458">
        <f>Employee!D19</f>
        <v>0</v>
      </c>
      <c r="E19" s="196">
        <v>1</v>
      </c>
      <c r="F19" s="196">
        <v>0</v>
      </c>
      <c r="G19" s="196">
        <v>0</v>
      </c>
      <c r="H19" s="298">
        <f t="shared" si="1"/>
        <v>0</v>
      </c>
      <c r="I19" s="196"/>
      <c r="J19" s="196"/>
      <c r="K19" s="196"/>
      <c r="L19" s="196"/>
      <c r="M19" s="196"/>
      <c r="N19" s="196"/>
      <c r="O19" s="196"/>
      <c r="P19" s="196"/>
      <c r="Q19" s="209"/>
      <c r="R19" s="209"/>
      <c r="S19" s="209"/>
      <c r="T19" s="209"/>
      <c r="U19" s="209"/>
      <c r="V19" s="209"/>
    </row>
    <row r="20" spans="1:22" s="198" customFormat="1" ht="10.5">
      <c r="A20" s="457">
        <f>Employee!A20</f>
        <v>0</v>
      </c>
      <c r="B20" s="458">
        <f>Employee!B20</f>
        <v>0</v>
      </c>
      <c r="C20" s="458">
        <f>Employee!C20</f>
        <v>0</v>
      </c>
      <c r="D20" s="458">
        <f>Employee!D20</f>
        <v>0</v>
      </c>
      <c r="E20" s="196">
        <v>1</v>
      </c>
      <c r="F20" s="196">
        <v>0</v>
      </c>
      <c r="G20" s="196">
        <v>0</v>
      </c>
      <c r="H20" s="298">
        <f t="shared" si="1"/>
        <v>0</v>
      </c>
      <c r="I20" s="196"/>
      <c r="J20" s="196"/>
      <c r="K20" s="196"/>
      <c r="L20" s="196"/>
      <c r="M20" s="196"/>
      <c r="N20" s="196"/>
      <c r="O20" s="196"/>
      <c r="P20" s="196"/>
      <c r="Q20" s="209"/>
      <c r="R20" s="209"/>
      <c r="S20" s="209"/>
      <c r="T20" s="209"/>
      <c r="U20" s="209"/>
      <c r="V20" s="209"/>
    </row>
    <row r="21" spans="1:22" s="198" customFormat="1" ht="10.5">
      <c r="A21" s="457">
        <f>Employee!A21</f>
        <v>0</v>
      </c>
      <c r="B21" s="458">
        <f>Employee!B21</f>
        <v>0</v>
      </c>
      <c r="C21" s="458">
        <f>Employee!C21</f>
        <v>0</v>
      </c>
      <c r="D21" s="458">
        <f>Employee!D21</f>
        <v>0</v>
      </c>
      <c r="E21" s="196">
        <v>1</v>
      </c>
      <c r="F21" s="196">
        <v>0</v>
      </c>
      <c r="G21" s="196">
        <v>0</v>
      </c>
      <c r="H21" s="298">
        <f t="shared" si="1"/>
        <v>0</v>
      </c>
      <c r="I21" s="196"/>
      <c r="J21" s="196"/>
      <c r="K21" s="196"/>
      <c r="L21" s="196"/>
      <c r="M21" s="196"/>
      <c r="N21" s="196"/>
      <c r="O21" s="196"/>
      <c r="P21" s="196"/>
      <c r="Q21" s="209"/>
      <c r="R21" s="209"/>
      <c r="S21" s="209"/>
      <c r="T21" s="209"/>
      <c r="U21" s="209"/>
      <c r="V21" s="209"/>
    </row>
    <row r="22" spans="1:22" s="198" customFormat="1" ht="10.5">
      <c r="A22" s="457">
        <f>Employee!A22</f>
        <v>0</v>
      </c>
      <c r="B22" s="458">
        <f>Employee!B22</f>
        <v>0</v>
      </c>
      <c r="C22" s="458">
        <f>Employee!C22</f>
        <v>0</v>
      </c>
      <c r="D22" s="458">
        <f>Employee!D22</f>
        <v>0</v>
      </c>
      <c r="E22" s="196">
        <v>1</v>
      </c>
      <c r="F22" s="196">
        <v>0</v>
      </c>
      <c r="G22" s="196">
        <v>0</v>
      </c>
      <c r="H22" s="298">
        <f t="shared" si="1"/>
        <v>0</v>
      </c>
      <c r="I22" s="196"/>
      <c r="J22" s="196"/>
      <c r="K22" s="196"/>
      <c r="L22" s="196"/>
      <c r="M22" s="196"/>
      <c r="N22" s="196"/>
      <c r="O22" s="196"/>
      <c r="P22" s="196"/>
      <c r="Q22" s="209"/>
      <c r="R22" s="209"/>
      <c r="S22" s="209"/>
      <c r="T22" s="209"/>
      <c r="U22" s="209"/>
      <c r="V22" s="209"/>
    </row>
    <row r="23" spans="1:22" s="198" customFormat="1" ht="10.5">
      <c r="A23" s="457">
        <f>Employee!A23</f>
        <v>0</v>
      </c>
      <c r="B23" s="458">
        <f>Employee!B23</f>
        <v>0</v>
      </c>
      <c r="C23" s="458">
        <f>Employee!C23</f>
        <v>0</v>
      </c>
      <c r="D23" s="458">
        <f>Employee!D23</f>
        <v>0</v>
      </c>
      <c r="E23" s="196">
        <v>1</v>
      </c>
      <c r="F23" s="196">
        <v>0</v>
      </c>
      <c r="G23" s="196">
        <v>0</v>
      </c>
      <c r="H23" s="298">
        <f t="shared" si="1"/>
        <v>0</v>
      </c>
      <c r="I23" s="196"/>
      <c r="J23" s="196"/>
      <c r="K23" s="196"/>
      <c r="L23" s="196"/>
      <c r="M23" s="196"/>
      <c r="N23" s="196"/>
      <c r="O23" s="196"/>
      <c r="P23" s="196"/>
      <c r="Q23" s="209"/>
      <c r="R23" s="209"/>
      <c r="S23" s="209"/>
      <c r="T23" s="209"/>
      <c r="U23" s="209"/>
      <c r="V23" s="209"/>
    </row>
    <row r="24" spans="1:22" s="198" customFormat="1" ht="10.5">
      <c r="A24" s="457">
        <f>Employee!A24</f>
        <v>0</v>
      </c>
      <c r="B24" s="458">
        <f>Employee!B24</f>
        <v>0</v>
      </c>
      <c r="C24" s="458">
        <f>Employee!C24</f>
        <v>0</v>
      </c>
      <c r="D24" s="458">
        <f>Employee!D24</f>
        <v>0</v>
      </c>
      <c r="E24" s="196">
        <v>1</v>
      </c>
      <c r="F24" s="196">
        <v>0</v>
      </c>
      <c r="G24" s="196">
        <v>0</v>
      </c>
      <c r="H24" s="298">
        <f t="shared" si="1"/>
        <v>0</v>
      </c>
      <c r="I24" s="196"/>
      <c r="J24" s="196"/>
      <c r="K24" s="196"/>
      <c r="L24" s="196"/>
      <c r="M24" s="196"/>
      <c r="N24" s="196"/>
      <c r="O24" s="196"/>
      <c r="P24" s="196"/>
      <c r="Q24" s="209"/>
      <c r="R24" s="209"/>
      <c r="S24" s="209"/>
      <c r="T24" s="209"/>
      <c r="U24" s="209"/>
      <c r="V24" s="209"/>
    </row>
    <row r="25" spans="1:22" s="198" customFormat="1" ht="10.5">
      <c r="A25" s="457">
        <f>Employee!A25</f>
        <v>0</v>
      </c>
      <c r="B25" s="458">
        <f>Employee!B25</f>
        <v>0</v>
      </c>
      <c r="C25" s="458">
        <f>Employee!C25</f>
        <v>0</v>
      </c>
      <c r="D25" s="458">
        <f>Employee!D25</f>
        <v>0</v>
      </c>
      <c r="E25" s="196">
        <v>1</v>
      </c>
      <c r="F25" s="196">
        <v>0</v>
      </c>
      <c r="G25" s="196">
        <v>0</v>
      </c>
      <c r="H25" s="298">
        <f t="shared" si="1"/>
        <v>0</v>
      </c>
      <c r="I25" s="196"/>
      <c r="J25" s="196"/>
      <c r="K25" s="196"/>
      <c r="L25" s="196"/>
      <c r="M25" s="196"/>
      <c r="N25" s="196"/>
      <c r="O25" s="196"/>
      <c r="P25" s="196"/>
      <c r="Q25" s="209"/>
      <c r="R25" s="209"/>
      <c r="S25" s="209"/>
      <c r="T25" s="209"/>
      <c r="U25" s="209"/>
      <c r="V25" s="209"/>
    </row>
    <row r="26" spans="1:22" s="198" customFormat="1" ht="10.5">
      <c r="A26" s="457">
        <f>Employee!A26</f>
        <v>0</v>
      </c>
      <c r="B26" s="458">
        <f>Employee!B26</f>
        <v>0</v>
      </c>
      <c r="C26" s="458">
        <f>Employee!C26</f>
        <v>0</v>
      </c>
      <c r="D26" s="458">
        <f>Employee!D26</f>
        <v>0</v>
      </c>
      <c r="E26" s="196">
        <v>1</v>
      </c>
      <c r="F26" s="196">
        <v>0</v>
      </c>
      <c r="G26" s="196">
        <v>0</v>
      </c>
      <c r="H26" s="298">
        <f t="shared" si="1"/>
        <v>0</v>
      </c>
      <c r="I26" s="196"/>
      <c r="J26" s="196"/>
      <c r="K26" s="196"/>
      <c r="L26" s="196"/>
      <c r="M26" s="196"/>
      <c r="N26" s="196"/>
      <c r="O26" s="196"/>
      <c r="P26" s="196"/>
      <c r="Q26" s="209"/>
      <c r="R26" s="209"/>
      <c r="S26" s="209"/>
      <c r="T26" s="209"/>
      <c r="U26" s="209"/>
      <c r="V26" s="209"/>
    </row>
    <row r="27" spans="1:22" s="198" customFormat="1" ht="10.5">
      <c r="A27" s="457">
        <f>Employee!A27</f>
        <v>0</v>
      </c>
      <c r="B27" s="458">
        <f>Employee!B27</f>
        <v>0</v>
      </c>
      <c r="C27" s="458">
        <f>Employee!C27</f>
        <v>0</v>
      </c>
      <c r="D27" s="458">
        <f>Employee!D27</f>
        <v>0</v>
      </c>
      <c r="E27" s="196">
        <v>1</v>
      </c>
      <c r="F27" s="196">
        <v>0</v>
      </c>
      <c r="G27" s="196">
        <v>0</v>
      </c>
      <c r="H27" s="298">
        <f t="shared" si="1"/>
        <v>0</v>
      </c>
      <c r="I27" s="196"/>
      <c r="J27" s="196"/>
      <c r="K27" s="196"/>
      <c r="L27" s="196"/>
      <c r="M27" s="196"/>
      <c r="N27" s="196"/>
      <c r="O27" s="196"/>
      <c r="P27" s="196"/>
      <c r="Q27" s="209"/>
      <c r="R27" s="209"/>
      <c r="S27" s="209"/>
      <c r="T27" s="209"/>
      <c r="U27" s="209"/>
      <c r="V27" s="209"/>
    </row>
    <row r="28" spans="1:22" s="198" customFormat="1" ht="10.5">
      <c r="A28" s="457">
        <f>Employee!A28</f>
        <v>0</v>
      </c>
      <c r="B28" s="458">
        <f>Employee!B28</f>
        <v>0</v>
      </c>
      <c r="C28" s="458">
        <f>Employee!C28</f>
        <v>0</v>
      </c>
      <c r="D28" s="458">
        <f>Employee!D28</f>
        <v>0</v>
      </c>
      <c r="E28" s="196">
        <v>1</v>
      </c>
      <c r="F28" s="196">
        <v>0</v>
      </c>
      <c r="G28" s="196">
        <v>0</v>
      </c>
      <c r="H28" s="298">
        <f t="shared" si="1"/>
        <v>0</v>
      </c>
      <c r="I28" s="196"/>
      <c r="J28" s="196"/>
      <c r="K28" s="196"/>
      <c r="L28" s="196"/>
      <c r="M28" s="196"/>
      <c r="N28" s="196"/>
      <c r="O28" s="196"/>
      <c r="P28" s="196"/>
      <c r="Q28" s="209"/>
      <c r="R28" s="209"/>
      <c r="S28" s="209"/>
      <c r="T28" s="209"/>
      <c r="U28" s="209"/>
      <c r="V28" s="209"/>
    </row>
    <row r="29" spans="1:22" s="198" customFormat="1" ht="10.5">
      <c r="A29" s="457">
        <f>Employee!A29</f>
        <v>0</v>
      </c>
      <c r="B29" s="458">
        <f>Employee!B29</f>
        <v>0</v>
      </c>
      <c r="C29" s="458">
        <f>Employee!C29</f>
        <v>0</v>
      </c>
      <c r="D29" s="458">
        <f>Employee!D29</f>
        <v>0</v>
      </c>
      <c r="E29" s="196">
        <v>1</v>
      </c>
      <c r="F29" s="196">
        <v>0</v>
      </c>
      <c r="G29" s="196">
        <v>0</v>
      </c>
      <c r="H29" s="298">
        <f t="shared" si="1"/>
        <v>0</v>
      </c>
      <c r="I29" s="196"/>
      <c r="J29" s="196"/>
      <c r="K29" s="196"/>
      <c r="L29" s="196"/>
      <c r="M29" s="196"/>
      <c r="N29" s="196"/>
      <c r="O29" s="196"/>
      <c r="P29" s="196"/>
      <c r="Q29" s="209"/>
      <c r="R29" s="209"/>
      <c r="S29" s="209"/>
      <c r="T29" s="209"/>
      <c r="U29" s="209"/>
      <c r="V29" s="209"/>
    </row>
    <row r="30" spans="1:22" s="198" customFormat="1" ht="10.5">
      <c r="A30" s="457">
        <f>Employee!A30</f>
        <v>0</v>
      </c>
      <c r="B30" s="458">
        <f>Employee!B30</f>
        <v>0</v>
      </c>
      <c r="C30" s="458">
        <f>Employee!C30</f>
        <v>0</v>
      </c>
      <c r="D30" s="458">
        <f>Employee!D30</f>
        <v>0</v>
      </c>
      <c r="E30" s="196">
        <v>1</v>
      </c>
      <c r="F30" s="196">
        <v>0</v>
      </c>
      <c r="G30" s="196">
        <v>0</v>
      </c>
      <c r="H30" s="298">
        <f t="shared" si="1"/>
        <v>0</v>
      </c>
      <c r="I30" s="196"/>
      <c r="J30" s="196"/>
      <c r="K30" s="196"/>
      <c r="L30" s="196"/>
      <c r="M30" s="196"/>
      <c r="N30" s="196"/>
      <c r="O30" s="196"/>
      <c r="P30" s="196"/>
      <c r="Q30" s="209"/>
      <c r="R30" s="209"/>
      <c r="S30" s="209"/>
      <c r="T30" s="209"/>
      <c r="U30" s="209"/>
      <c r="V30" s="209"/>
    </row>
    <row r="31" spans="1:22" s="198" customFormat="1" ht="10.5">
      <c r="A31" s="457">
        <f>Employee!A31</f>
        <v>0</v>
      </c>
      <c r="B31" s="458">
        <f>Employee!B31</f>
        <v>0</v>
      </c>
      <c r="C31" s="458">
        <f>Employee!C31</f>
        <v>0</v>
      </c>
      <c r="D31" s="458">
        <f>Employee!D31</f>
        <v>0</v>
      </c>
      <c r="E31" s="196">
        <v>1</v>
      </c>
      <c r="F31" s="196">
        <v>0</v>
      </c>
      <c r="G31" s="196">
        <v>0</v>
      </c>
      <c r="H31" s="298">
        <f t="shared" si="1"/>
        <v>0</v>
      </c>
      <c r="I31" s="196"/>
      <c r="J31" s="196"/>
      <c r="K31" s="196"/>
      <c r="L31" s="196"/>
      <c r="M31" s="196"/>
      <c r="N31" s="196"/>
      <c r="O31" s="196"/>
      <c r="P31" s="196"/>
      <c r="Q31" s="209"/>
      <c r="R31" s="209"/>
      <c r="S31" s="209"/>
      <c r="T31" s="209"/>
      <c r="U31" s="209"/>
      <c r="V31" s="209"/>
    </row>
    <row r="32" spans="1:22" s="198" customFormat="1" ht="10.5">
      <c r="A32" s="457">
        <f>Employee!A32</f>
        <v>0</v>
      </c>
      <c r="B32" s="458">
        <f>Employee!B32</f>
        <v>0</v>
      </c>
      <c r="C32" s="458">
        <f>Employee!C32</f>
        <v>0</v>
      </c>
      <c r="D32" s="458">
        <f>Employee!D32</f>
        <v>0</v>
      </c>
      <c r="E32" s="196">
        <v>1</v>
      </c>
      <c r="F32" s="196">
        <v>0</v>
      </c>
      <c r="G32" s="196">
        <v>0</v>
      </c>
      <c r="H32" s="298">
        <f t="shared" si="1"/>
        <v>0</v>
      </c>
      <c r="I32" s="196"/>
      <c r="J32" s="196"/>
      <c r="K32" s="196"/>
      <c r="L32" s="196"/>
      <c r="M32" s="196"/>
      <c r="N32" s="196"/>
      <c r="O32" s="196"/>
      <c r="P32" s="196"/>
      <c r="Q32" s="209"/>
      <c r="R32" s="209"/>
      <c r="S32" s="209"/>
      <c r="T32" s="209"/>
      <c r="U32" s="209"/>
      <c r="V32" s="209"/>
    </row>
    <row r="33" spans="1:22" s="198" customFormat="1" ht="10.5">
      <c r="A33" s="457">
        <f>Employee!A33</f>
        <v>0</v>
      </c>
      <c r="B33" s="458">
        <f>Employee!B33</f>
        <v>0</v>
      </c>
      <c r="C33" s="458">
        <f>Employee!C33</f>
        <v>0</v>
      </c>
      <c r="D33" s="458">
        <f>Employee!D33</f>
        <v>0</v>
      </c>
      <c r="E33" s="196">
        <v>1</v>
      </c>
      <c r="F33" s="196">
        <v>0</v>
      </c>
      <c r="G33" s="196">
        <v>0</v>
      </c>
      <c r="H33" s="298">
        <f t="shared" si="1"/>
        <v>0</v>
      </c>
      <c r="I33" s="196"/>
      <c r="J33" s="196"/>
      <c r="K33" s="196"/>
      <c r="L33" s="196"/>
      <c r="M33" s="196"/>
      <c r="N33" s="196"/>
      <c r="O33" s="196"/>
      <c r="P33" s="196"/>
      <c r="Q33" s="209"/>
      <c r="R33" s="209"/>
      <c r="S33" s="209"/>
      <c r="T33" s="209"/>
      <c r="U33" s="209"/>
      <c r="V33" s="209"/>
    </row>
    <row r="34" spans="1:22" s="198" customFormat="1" ht="10.5">
      <c r="A34" s="457">
        <f>Employee!A34</f>
        <v>0</v>
      </c>
      <c r="B34" s="458">
        <f>Employee!B34</f>
        <v>0</v>
      </c>
      <c r="C34" s="458">
        <f>Employee!C34</f>
        <v>0</v>
      </c>
      <c r="D34" s="458">
        <f>Employee!D34</f>
        <v>0</v>
      </c>
      <c r="E34" s="196">
        <v>1</v>
      </c>
      <c r="F34" s="196">
        <v>0</v>
      </c>
      <c r="G34" s="196">
        <v>0</v>
      </c>
      <c r="H34" s="298">
        <f t="shared" si="1"/>
        <v>0</v>
      </c>
      <c r="I34" s="196"/>
      <c r="J34" s="196"/>
      <c r="K34" s="196"/>
      <c r="L34" s="196"/>
      <c r="M34" s="196"/>
      <c r="N34" s="196"/>
      <c r="O34" s="196"/>
      <c r="P34" s="196"/>
      <c r="Q34" s="209"/>
      <c r="R34" s="209"/>
      <c r="S34" s="209"/>
      <c r="T34" s="209"/>
      <c r="U34" s="209"/>
      <c r="V34" s="209"/>
    </row>
    <row r="35" spans="1:22" s="198" customFormat="1" ht="10.5">
      <c r="A35" s="457">
        <f>Employee!A35</f>
        <v>0</v>
      </c>
      <c r="B35" s="458">
        <f>Employee!B35</f>
        <v>0</v>
      </c>
      <c r="C35" s="458">
        <f>Employee!C35</f>
        <v>0</v>
      </c>
      <c r="D35" s="458">
        <f>Employee!D35</f>
        <v>0</v>
      </c>
      <c r="E35" s="196">
        <v>1</v>
      </c>
      <c r="F35" s="196">
        <v>0</v>
      </c>
      <c r="G35" s="196">
        <v>0</v>
      </c>
      <c r="H35" s="298">
        <f t="shared" si="1"/>
        <v>0</v>
      </c>
      <c r="I35" s="196"/>
      <c r="J35" s="196"/>
      <c r="K35" s="196"/>
      <c r="L35" s="196"/>
      <c r="M35" s="196"/>
      <c r="N35" s="196"/>
      <c r="O35" s="196"/>
      <c r="P35" s="196"/>
      <c r="Q35" s="209"/>
      <c r="R35" s="209"/>
      <c r="S35" s="209"/>
      <c r="T35" s="209"/>
      <c r="U35" s="209"/>
      <c r="V35" s="209"/>
    </row>
    <row r="36" spans="1:22" s="198" customFormat="1" ht="10.5">
      <c r="A36" s="457">
        <f>Employee!A36</f>
        <v>0</v>
      </c>
      <c r="B36" s="458">
        <f>Employee!B36</f>
        <v>0</v>
      </c>
      <c r="C36" s="458">
        <f>Employee!C36</f>
        <v>0</v>
      </c>
      <c r="D36" s="458">
        <f>Employee!D36</f>
        <v>0</v>
      </c>
      <c r="E36" s="196">
        <v>1</v>
      </c>
      <c r="F36" s="196">
        <v>0</v>
      </c>
      <c r="G36" s="196">
        <v>0</v>
      </c>
      <c r="H36" s="298">
        <f t="shared" si="1"/>
        <v>0</v>
      </c>
      <c r="I36" s="196"/>
      <c r="J36" s="196"/>
      <c r="K36" s="196"/>
      <c r="L36" s="196"/>
      <c r="M36" s="196"/>
      <c r="N36" s="196"/>
      <c r="O36" s="196"/>
      <c r="P36" s="196"/>
      <c r="Q36" s="209"/>
      <c r="R36" s="209"/>
      <c r="S36" s="209"/>
      <c r="T36" s="209"/>
      <c r="U36" s="209"/>
      <c r="V36" s="209"/>
    </row>
    <row r="37" spans="1:22" s="198" customFormat="1" ht="10.5">
      <c r="A37" s="457">
        <f>Employee!A37</f>
        <v>0</v>
      </c>
      <c r="B37" s="458">
        <f>Employee!B37</f>
        <v>0</v>
      </c>
      <c r="C37" s="458">
        <f>Employee!C37</f>
        <v>0</v>
      </c>
      <c r="D37" s="458">
        <f>Employee!D37</f>
        <v>0</v>
      </c>
      <c r="E37" s="196">
        <v>1</v>
      </c>
      <c r="F37" s="196">
        <v>0</v>
      </c>
      <c r="G37" s="196">
        <v>0</v>
      </c>
      <c r="H37" s="298">
        <f t="shared" si="1"/>
        <v>0</v>
      </c>
      <c r="I37" s="196"/>
      <c r="J37" s="196"/>
      <c r="K37" s="196"/>
      <c r="L37" s="196"/>
      <c r="M37" s="196"/>
      <c r="N37" s="196"/>
      <c r="O37" s="196"/>
      <c r="P37" s="196"/>
      <c r="Q37" s="209"/>
      <c r="R37" s="209"/>
      <c r="S37" s="209"/>
      <c r="T37" s="209"/>
      <c r="U37" s="209"/>
      <c r="V37" s="209"/>
    </row>
    <row r="38" spans="1:22" s="198" customFormat="1" ht="10.5">
      <c r="A38" s="457">
        <f>Employee!A38</f>
        <v>0</v>
      </c>
      <c r="B38" s="458">
        <f>Employee!B38</f>
        <v>0</v>
      </c>
      <c r="C38" s="458">
        <f>Employee!C38</f>
        <v>0</v>
      </c>
      <c r="D38" s="458">
        <f>Employee!D38</f>
        <v>0</v>
      </c>
      <c r="E38" s="196">
        <v>1</v>
      </c>
      <c r="F38" s="196">
        <v>0</v>
      </c>
      <c r="G38" s="196">
        <v>0</v>
      </c>
      <c r="H38" s="298">
        <f t="shared" si="1"/>
        <v>0</v>
      </c>
      <c r="I38" s="196"/>
      <c r="J38" s="196"/>
      <c r="K38" s="196"/>
      <c r="L38" s="196"/>
      <c r="M38" s="196"/>
      <c r="N38" s="196"/>
      <c r="O38" s="196"/>
      <c r="P38" s="196"/>
      <c r="Q38" s="209"/>
      <c r="R38" s="209"/>
      <c r="S38" s="209"/>
      <c r="T38" s="209"/>
      <c r="U38" s="209"/>
      <c r="V38" s="209"/>
    </row>
    <row r="39" spans="1:22" s="198" customFormat="1" ht="10.5">
      <c r="A39" s="457">
        <f>Employee!A39</f>
        <v>0</v>
      </c>
      <c r="B39" s="458">
        <f>Employee!B39</f>
        <v>0</v>
      </c>
      <c r="C39" s="458">
        <f>Employee!C39</f>
        <v>0</v>
      </c>
      <c r="D39" s="458">
        <f>Employee!D39</f>
        <v>0</v>
      </c>
      <c r="E39" s="196">
        <v>1</v>
      </c>
      <c r="F39" s="196">
        <v>0</v>
      </c>
      <c r="G39" s="196">
        <v>0</v>
      </c>
      <c r="H39" s="298">
        <f t="shared" si="1"/>
        <v>0</v>
      </c>
      <c r="I39" s="196"/>
      <c r="J39" s="196"/>
      <c r="K39" s="196"/>
      <c r="L39" s="196"/>
      <c r="M39" s="196"/>
      <c r="N39" s="196"/>
      <c r="O39" s="196"/>
      <c r="P39" s="196"/>
      <c r="Q39" s="209"/>
      <c r="R39" s="209"/>
      <c r="S39" s="209"/>
      <c r="T39" s="209"/>
      <c r="U39" s="209"/>
      <c r="V39" s="209"/>
    </row>
    <row r="40" spans="1:22" s="198" customFormat="1" ht="10.5">
      <c r="A40" s="457">
        <f>Employee!A40</f>
        <v>0</v>
      </c>
      <c r="B40" s="458">
        <f>Employee!B40</f>
        <v>0</v>
      </c>
      <c r="C40" s="458">
        <f>Employee!C40</f>
        <v>0</v>
      </c>
      <c r="D40" s="458">
        <f>Employee!D40</f>
        <v>0</v>
      </c>
      <c r="E40" s="196">
        <v>1</v>
      </c>
      <c r="F40" s="196">
        <v>0</v>
      </c>
      <c r="G40" s="196">
        <v>0</v>
      </c>
      <c r="H40" s="298">
        <f t="shared" si="1"/>
        <v>0</v>
      </c>
      <c r="I40" s="196"/>
      <c r="J40" s="196"/>
      <c r="K40" s="196"/>
      <c r="L40" s="196"/>
      <c r="M40" s="196"/>
      <c r="N40" s="196"/>
      <c r="O40" s="196"/>
      <c r="P40" s="196"/>
      <c r="Q40" s="209"/>
      <c r="R40" s="209"/>
      <c r="S40" s="209"/>
      <c r="T40" s="209"/>
      <c r="U40" s="209"/>
      <c r="V40" s="209"/>
    </row>
    <row r="41" spans="1:22" s="198" customFormat="1" ht="10.5">
      <c r="A41" s="457">
        <f>Employee!A41</f>
        <v>0</v>
      </c>
      <c r="B41" s="458">
        <f>Employee!B41</f>
        <v>0</v>
      </c>
      <c r="C41" s="458">
        <f>Employee!C41</f>
        <v>0</v>
      </c>
      <c r="D41" s="458">
        <f>Employee!D41</f>
        <v>0</v>
      </c>
      <c r="E41" s="196">
        <v>1</v>
      </c>
      <c r="F41" s="196">
        <v>0</v>
      </c>
      <c r="G41" s="196">
        <v>0</v>
      </c>
      <c r="H41" s="298">
        <f t="shared" si="1"/>
        <v>0</v>
      </c>
      <c r="I41" s="196"/>
      <c r="J41" s="196"/>
      <c r="K41" s="196"/>
      <c r="L41" s="196"/>
      <c r="M41" s="196"/>
      <c r="N41" s="196"/>
      <c r="O41" s="196"/>
      <c r="P41" s="196"/>
      <c r="Q41" s="209"/>
      <c r="R41" s="209"/>
      <c r="S41" s="209"/>
      <c r="T41" s="209"/>
      <c r="U41" s="209"/>
      <c r="V41" s="209"/>
    </row>
    <row r="42" spans="1:22" s="198" customFormat="1" ht="10.5">
      <c r="A42" s="457">
        <f>Employee!A42</f>
        <v>0</v>
      </c>
      <c r="B42" s="458">
        <f>Employee!B42</f>
        <v>0</v>
      </c>
      <c r="C42" s="458">
        <f>Employee!C42</f>
        <v>0</v>
      </c>
      <c r="D42" s="458">
        <f>Employee!D42</f>
        <v>0</v>
      </c>
      <c r="E42" s="196">
        <v>1</v>
      </c>
      <c r="F42" s="196">
        <v>0</v>
      </c>
      <c r="G42" s="196">
        <v>0</v>
      </c>
      <c r="H42" s="298">
        <f t="shared" si="1"/>
        <v>0</v>
      </c>
      <c r="I42" s="196"/>
      <c r="J42" s="196"/>
      <c r="K42" s="196"/>
      <c r="L42" s="196"/>
      <c r="M42" s="196"/>
      <c r="N42" s="196"/>
      <c r="O42" s="196"/>
      <c r="P42" s="196"/>
      <c r="Q42" s="209"/>
      <c r="R42" s="209"/>
      <c r="S42" s="209"/>
      <c r="T42" s="209"/>
      <c r="U42" s="209"/>
      <c r="V42" s="209"/>
    </row>
    <row r="43" spans="1:22" s="198" customFormat="1" ht="10.5">
      <c r="A43" s="457">
        <f>Employee!A43</f>
        <v>0</v>
      </c>
      <c r="B43" s="458">
        <f>Employee!B43</f>
        <v>0</v>
      </c>
      <c r="C43" s="458">
        <f>Employee!C43</f>
        <v>0</v>
      </c>
      <c r="D43" s="458">
        <f>Employee!D43</f>
        <v>0</v>
      </c>
      <c r="E43" s="196">
        <v>1</v>
      </c>
      <c r="F43" s="196">
        <v>0</v>
      </c>
      <c r="G43" s="196">
        <v>0</v>
      </c>
      <c r="H43" s="298">
        <f t="shared" si="1"/>
        <v>0</v>
      </c>
      <c r="I43" s="196"/>
      <c r="J43" s="196"/>
      <c r="K43" s="196"/>
      <c r="L43" s="196"/>
      <c r="M43" s="196"/>
      <c r="N43" s="196"/>
      <c r="O43" s="196"/>
      <c r="P43" s="196"/>
      <c r="Q43" s="209"/>
      <c r="R43" s="209"/>
      <c r="S43" s="209"/>
      <c r="T43" s="209"/>
      <c r="U43" s="209"/>
      <c r="V43" s="209"/>
    </row>
    <row r="44" spans="1:22" s="198" customFormat="1" ht="10.5">
      <c r="A44" s="457">
        <f>Employee!A44</f>
        <v>0</v>
      </c>
      <c r="B44" s="458">
        <f>Employee!B44</f>
        <v>0</v>
      </c>
      <c r="C44" s="458">
        <f>Employee!C44</f>
        <v>0</v>
      </c>
      <c r="D44" s="458">
        <f>Employee!D44</f>
        <v>0</v>
      </c>
      <c r="E44" s="196">
        <v>1</v>
      </c>
      <c r="F44" s="196">
        <v>0</v>
      </c>
      <c r="G44" s="196">
        <v>0</v>
      </c>
      <c r="H44" s="298">
        <f t="shared" si="1"/>
        <v>0</v>
      </c>
      <c r="I44" s="196"/>
      <c r="J44" s="196"/>
      <c r="K44" s="196"/>
      <c r="L44" s="196"/>
      <c r="M44" s="196"/>
      <c r="N44" s="196"/>
      <c r="O44" s="196"/>
      <c r="P44" s="196"/>
      <c r="Q44" s="209"/>
      <c r="R44" s="209"/>
      <c r="S44" s="209"/>
      <c r="T44" s="209"/>
      <c r="U44" s="209"/>
      <c r="V44" s="209"/>
    </row>
    <row r="45" spans="1:22" s="198" customFormat="1" ht="10.5">
      <c r="A45" s="457">
        <f>Employee!A45</f>
        <v>0</v>
      </c>
      <c r="B45" s="458">
        <f>Employee!B45</f>
        <v>0</v>
      </c>
      <c r="C45" s="458">
        <f>Employee!C45</f>
        <v>0</v>
      </c>
      <c r="D45" s="458">
        <f>Employee!D45</f>
        <v>0</v>
      </c>
      <c r="E45" s="196">
        <v>1</v>
      </c>
      <c r="F45" s="196">
        <v>0</v>
      </c>
      <c r="G45" s="196">
        <v>0</v>
      </c>
      <c r="H45" s="298">
        <f t="shared" si="1"/>
        <v>0</v>
      </c>
      <c r="I45" s="196"/>
      <c r="J45" s="196"/>
      <c r="K45" s="196"/>
      <c r="L45" s="196"/>
      <c r="M45" s="196"/>
      <c r="N45" s="196"/>
      <c r="O45" s="196"/>
      <c r="P45" s="196"/>
      <c r="Q45" s="209"/>
      <c r="R45" s="209"/>
      <c r="S45" s="209"/>
      <c r="T45" s="209"/>
      <c r="U45" s="209"/>
      <c r="V45" s="209"/>
    </row>
    <row r="46" spans="1:22" s="198" customFormat="1" ht="10.5">
      <c r="A46" s="457">
        <f>Employee!A46</f>
        <v>0</v>
      </c>
      <c r="B46" s="458">
        <f>Employee!B46</f>
        <v>0</v>
      </c>
      <c r="C46" s="458">
        <f>Employee!C46</f>
        <v>0</v>
      </c>
      <c r="D46" s="458">
        <f>Employee!D46</f>
        <v>0</v>
      </c>
      <c r="E46" s="196">
        <v>1</v>
      </c>
      <c r="F46" s="196">
        <v>0</v>
      </c>
      <c r="G46" s="196">
        <v>0</v>
      </c>
      <c r="H46" s="298">
        <f t="shared" si="1"/>
        <v>0</v>
      </c>
      <c r="I46" s="196"/>
      <c r="J46" s="196"/>
      <c r="K46" s="196"/>
      <c r="L46" s="196"/>
      <c r="M46" s="196"/>
      <c r="N46" s="196"/>
      <c r="O46" s="196"/>
      <c r="P46" s="196"/>
      <c r="Q46" s="209"/>
      <c r="R46" s="209"/>
      <c r="S46" s="209"/>
      <c r="T46" s="209"/>
      <c r="U46" s="209"/>
      <c r="V46" s="209"/>
    </row>
    <row r="47" spans="1:22" s="198" customFormat="1" ht="10.5">
      <c r="A47" s="457">
        <f>Employee!A47</f>
        <v>0</v>
      </c>
      <c r="B47" s="458">
        <f>Employee!B47</f>
        <v>0</v>
      </c>
      <c r="C47" s="458">
        <f>Employee!C47</f>
        <v>0</v>
      </c>
      <c r="D47" s="458">
        <f>Employee!D47</f>
        <v>0</v>
      </c>
      <c r="E47" s="196">
        <v>1</v>
      </c>
      <c r="F47" s="196">
        <v>0</v>
      </c>
      <c r="G47" s="196">
        <v>0</v>
      </c>
      <c r="H47" s="298">
        <f t="shared" si="1"/>
        <v>0</v>
      </c>
      <c r="I47" s="196"/>
      <c r="J47" s="196"/>
      <c r="K47" s="196"/>
      <c r="L47" s="196"/>
      <c r="M47" s="196"/>
      <c r="N47" s="196"/>
      <c r="O47" s="196"/>
      <c r="P47" s="196"/>
      <c r="Q47" s="209"/>
      <c r="R47" s="209"/>
      <c r="S47" s="209"/>
      <c r="T47" s="209"/>
      <c r="U47" s="209"/>
      <c r="V47" s="209"/>
    </row>
    <row r="48" spans="1:22" s="198" customFormat="1" ht="10.5">
      <c r="A48" s="457">
        <f>Employee!A48</f>
        <v>0</v>
      </c>
      <c r="B48" s="458">
        <f>Employee!B48</f>
        <v>0</v>
      </c>
      <c r="C48" s="458">
        <f>Employee!C48</f>
        <v>0</v>
      </c>
      <c r="D48" s="458">
        <f>Employee!D48</f>
        <v>0</v>
      </c>
      <c r="E48" s="196">
        <v>1</v>
      </c>
      <c r="F48" s="196">
        <v>0</v>
      </c>
      <c r="G48" s="196">
        <v>0</v>
      </c>
      <c r="H48" s="298">
        <f t="shared" si="1"/>
        <v>0</v>
      </c>
      <c r="I48" s="196"/>
      <c r="J48" s="196"/>
      <c r="K48" s="196"/>
      <c r="L48" s="196"/>
      <c r="M48" s="196"/>
      <c r="N48" s="196"/>
      <c r="O48" s="196"/>
      <c r="P48" s="196"/>
      <c r="Q48" s="209"/>
      <c r="R48" s="209"/>
      <c r="S48" s="209"/>
      <c r="T48" s="209"/>
      <c r="U48" s="209"/>
      <c r="V48" s="209"/>
    </row>
    <row r="49" spans="1:22" s="198" customFormat="1" ht="10.5">
      <c r="A49" s="457">
        <f>Employee!A49</f>
        <v>0</v>
      </c>
      <c r="B49" s="458">
        <f>Employee!B49</f>
        <v>0</v>
      </c>
      <c r="C49" s="458">
        <f>Employee!C49</f>
        <v>0</v>
      </c>
      <c r="D49" s="458">
        <f>Employee!D49</f>
        <v>0</v>
      </c>
      <c r="E49" s="196">
        <v>1</v>
      </c>
      <c r="F49" s="196">
        <v>0</v>
      </c>
      <c r="G49" s="196">
        <v>0</v>
      </c>
      <c r="H49" s="298">
        <f t="shared" si="1"/>
        <v>0</v>
      </c>
      <c r="I49" s="196"/>
      <c r="J49" s="196"/>
      <c r="K49" s="196"/>
      <c r="L49" s="196"/>
      <c r="M49" s="196"/>
      <c r="N49" s="196"/>
      <c r="O49" s="196"/>
      <c r="P49" s="196"/>
      <c r="Q49" s="209"/>
      <c r="R49" s="209"/>
      <c r="S49" s="209"/>
      <c r="T49" s="209"/>
      <c r="U49" s="209"/>
      <c r="V49" s="209"/>
    </row>
    <row r="50" spans="1:22" s="198" customFormat="1" ht="10.5">
      <c r="A50" s="457">
        <f>Employee!A50</f>
        <v>0</v>
      </c>
      <c r="B50" s="458">
        <f>Employee!B50</f>
        <v>0</v>
      </c>
      <c r="C50" s="458">
        <f>Employee!C50</f>
        <v>0</v>
      </c>
      <c r="D50" s="458">
        <f>Employee!D50</f>
        <v>0</v>
      </c>
      <c r="E50" s="196">
        <v>1</v>
      </c>
      <c r="F50" s="196">
        <v>0</v>
      </c>
      <c r="G50" s="196">
        <v>0</v>
      </c>
      <c r="H50" s="298">
        <f t="shared" si="1"/>
        <v>0</v>
      </c>
      <c r="I50" s="196"/>
      <c r="J50" s="196"/>
      <c r="K50" s="196"/>
      <c r="L50" s="196"/>
      <c r="M50" s="196"/>
      <c r="N50" s="196"/>
      <c r="O50" s="196"/>
      <c r="P50" s="196"/>
      <c r="Q50" s="209"/>
      <c r="R50" s="209"/>
      <c r="S50" s="209"/>
      <c r="T50" s="209"/>
      <c r="U50" s="209"/>
      <c r="V50" s="209"/>
    </row>
    <row r="51" spans="1:22" s="198" customFormat="1" ht="10.5">
      <c r="A51" s="457">
        <f>Employee!A51</f>
        <v>0</v>
      </c>
      <c r="B51" s="458">
        <f>Employee!B51</f>
        <v>0</v>
      </c>
      <c r="C51" s="458">
        <f>Employee!C51</f>
        <v>0</v>
      </c>
      <c r="D51" s="458">
        <f>Employee!D51</f>
        <v>0</v>
      </c>
      <c r="E51" s="196">
        <v>1</v>
      </c>
      <c r="F51" s="196">
        <v>0</v>
      </c>
      <c r="G51" s="196">
        <v>0</v>
      </c>
      <c r="H51" s="298">
        <f t="shared" si="1"/>
        <v>0</v>
      </c>
      <c r="I51" s="196"/>
      <c r="J51" s="196"/>
      <c r="K51" s="196"/>
      <c r="L51" s="196"/>
      <c r="M51" s="196"/>
      <c r="N51" s="196"/>
      <c r="O51" s="196"/>
      <c r="P51" s="196"/>
      <c r="Q51" s="209"/>
      <c r="R51" s="209"/>
      <c r="S51" s="209"/>
      <c r="T51" s="209"/>
      <c r="U51" s="209"/>
      <c r="V51" s="209"/>
    </row>
    <row r="52" spans="1:22" s="198" customFormat="1" ht="10.5">
      <c r="A52" s="457">
        <f>Employee!A52</f>
        <v>0</v>
      </c>
      <c r="B52" s="458">
        <f>Employee!B52</f>
        <v>0</v>
      </c>
      <c r="C52" s="458">
        <f>Employee!C52</f>
        <v>0</v>
      </c>
      <c r="D52" s="458">
        <f>Employee!D52</f>
        <v>0</v>
      </c>
      <c r="E52" s="196">
        <v>1</v>
      </c>
      <c r="F52" s="196">
        <v>0</v>
      </c>
      <c r="G52" s="196">
        <v>0</v>
      </c>
      <c r="H52" s="298">
        <f t="shared" si="1"/>
        <v>0</v>
      </c>
      <c r="I52" s="196"/>
      <c r="J52" s="196"/>
      <c r="K52" s="196"/>
      <c r="L52" s="196"/>
      <c r="M52" s="196"/>
      <c r="N52" s="196"/>
      <c r="O52" s="196"/>
      <c r="P52" s="196"/>
      <c r="Q52" s="209"/>
      <c r="R52" s="209"/>
      <c r="S52" s="209"/>
      <c r="T52" s="209"/>
      <c r="U52" s="209"/>
      <c r="V52" s="209"/>
    </row>
    <row r="53" spans="1:22" s="198" customFormat="1" ht="10.5">
      <c r="A53" s="457">
        <f>Employee!A53</f>
        <v>0</v>
      </c>
      <c r="B53" s="458">
        <f>Employee!B53</f>
        <v>0</v>
      </c>
      <c r="C53" s="458">
        <f>Employee!C53</f>
        <v>0</v>
      </c>
      <c r="D53" s="458">
        <f>Employee!D53</f>
        <v>0</v>
      </c>
      <c r="E53" s="196">
        <v>1</v>
      </c>
      <c r="F53" s="196">
        <v>0</v>
      </c>
      <c r="G53" s="196">
        <v>0</v>
      </c>
      <c r="H53" s="298">
        <f t="shared" ref="H53:H69" si="2">SUM(I53:V53)</f>
        <v>0</v>
      </c>
      <c r="I53" s="196"/>
      <c r="J53" s="196"/>
      <c r="K53" s="196"/>
      <c r="L53" s="196"/>
      <c r="M53" s="196"/>
      <c r="N53" s="196"/>
      <c r="O53" s="196"/>
      <c r="P53" s="196"/>
      <c r="Q53" s="209"/>
      <c r="R53" s="209"/>
      <c r="S53" s="209"/>
      <c r="T53" s="209"/>
      <c r="U53" s="209"/>
      <c r="V53" s="209"/>
    </row>
    <row r="54" spans="1:22" s="198" customFormat="1" ht="10.5">
      <c r="A54" s="457">
        <f>Employee!A54</f>
        <v>0</v>
      </c>
      <c r="B54" s="458">
        <f>Employee!B54</f>
        <v>0</v>
      </c>
      <c r="C54" s="458">
        <f>Employee!C54</f>
        <v>0</v>
      </c>
      <c r="D54" s="458">
        <f>Employee!D54</f>
        <v>0</v>
      </c>
      <c r="E54" s="196">
        <v>1</v>
      </c>
      <c r="F54" s="196">
        <v>0</v>
      </c>
      <c r="G54" s="196">
        <v>0</v>
      </c>
      <c r="H54" s="298">
        <f t="shared" si="2"/>
        <v>0</v>
      </c>
      <c r="I54" s="196"/>
      <c r="J54" s="196"/>
      <c r="K54" s="196"/>
      <c r="L54" s="196"/>
      <c r="M54" s="196"/>
      <c r="N54" s="196"/>
      <c r="O54" s="196"/>
      <c r="P54" s="196"/>
      <c r="Q54" s="209"/>
      <c r="R54" s="209"/>
      <c r="S54" s="209"/>
      <c r="T54" s="209"/>
      <c r="U54" s="209"/>
      <c r="V54" s="209"/>
    </row>
    <row r="55" spans="1:22" s="198" customFormat="1" ht="10.5">
      <c r="A55" s="457">
        <f>Employee!A55</f>
        <v>0</v>
      </c>
      <c r="B55" s="458">
        <f>Employee!B55</f>
        <v>0</v>
      </c>
      <c r="C55" s="458">
        <f>Employee!C55</f>
        <v>0</v>
      </c>
      <c r="D55" s="458">
        <f>Employee!D55</f>
        <v>0</v>
      </c>
      <c r="E55" s="196">
        <v>1</v>
      </c>
      <c r="F55" s="196">
        <v>0</v>
      </c>
      <c r="G55" s="196">
        <v>0</v>
      </c>
      <c r="H55" s="298">
        <f t="shared" si="2"/>
        <v>0</v>
      </c>
      <c r="I55" s="196"/>
      <c r="J55" s="196"/>
      <c r="K55" s="196"/>
      <c r="L55" s="196"/>
      <c r="M55" s="196"/>
      <c r="N55" s="196"/>
      <c r="O55" s="196"/>
      <c r="P55" s="196"/>
      <c r="Q55" s="209"/>
      <c r="R55" s="209"/>
      <c r="S55" s="209"/>
      <c r="T55" s="209"/>
      <c r="U55" s="209"/>
      <c r="V55" s="209"/>
    </row>
    <row r="56" spans="1:22" s="198" customFormat="1" ht="10.5">
      <c r="A56" s="457">
        <f>Employee!A56</f>
        <v>0</v>
      </c>
      <c r="B56" s="458">
        <f>Employee!B56</f>
        <v>0</v>
      </c>
      <c r="C56" s="458">
        <f>Employee!C56</f>
        <v>0</v>
      </c>
      <c r="D56" s="458">
        <f>Employee!D56</f>
        <v>0</v>
      </c>
      <c r="E56" s="196">
        <v>1</v>
      </c>
      <c r="F56" s="196">
        <v>0</v>
      </c>
      <c r="G56" s="196">
        <v>0</v>
      </c>
      <c r="H56" s="298">
        <f t="shared" si="2"/>
        <v>0</v>
      </c>
      <c r="I56" s="196"/>
      <c r="J56" s="196"/>
      <c r="K56" s="196"/>
      <c r="L56" s="196"/>
      <c r="M56" s="196"/>
      <c r="N56" s="196"/>
      <c r="O56" s="196"/>
      <c r="P56" s="196"/>
      <c r="Q56" s="209"/>
      <c r="R56" s="209"/>
      <c r="S56" s="209"/>
      <c r="T56" s="209"/>
      <c r="U56" s="209"/>
      <c r="V56" s="209"/>
    </row>
    <row r="57" spans="1:22" s="198" customFormat="1" ht="10.5">
      <c r="A57" s="457">
        <f>Employee!A57</f>
        <v>0</v>
      </c>
      <c r="B57" s="458">
        <f>Employee!B57</f>
        <v>0</v>
      </c>
      <c r="C57" s="458">
        <f>Employee!C57</f>
        <v>0</v>
      </c>
      <c r="D57" s="458">
        <f>Employee!D57</f>
        <v>0</v>
      </c>
      <c r="E57" s="196">
        <v>1</v>
      </c>
      <c r="F57" s="196">
        <v>0</v>
      </c>
      <c r="G57" s="196">
        <v>0</v>
      </c>
      <c r="H57" s="298">
        <f t="shared" si="2"/>
        <v>0</v>
      </c>
      <c r="I57" s="196"/>
      <c r="J57" s="196"/>
      <c r="K57" s="196"/>
      <c r="L57" s="196"/>
      <c r="M57" s="196"/>
      <c r="N57" s="196"/>
      <c r="O57" s="196"/>
      <c r="P57" s="196"/>
      <c r="Q57" s="209"/>
      <c r="R57" s="209"/>
      <c r="S57" s="209"/>
      <c r="T57" s="209"/>
      <c r="U57" s="209"/>
      <c r="V57" s="209"/>
    </row>
    <row r="58" spans="1:22" s="198" customFormat="1" ht="10.5">
      <c r="A58" s="457">
        <f>Employee!A58</f>
        <v>0</v>
      </c>
      <c r="B58" s="458">
        <f>Employee!B58</f>
        <v>0</v>
      </c>
      <c r="C58" s="458">
        <f>Employee!C58</f>
        <v>0</v>
      </c>
      <c r="D58" s="458">
        <f>Employee!D58</f>
        <v>0</v>
      </c>
      <c r="E58" s="196">
        <v>1</v>
      </c>
      <c r="F58" s="196">
        <v>0</v>
      </c>
      <c r="G58" s="196">
        <v>0</v>
      </c>
      <c r="H58" s="298">
        <f t="shared" si="2"/>
        <v>0</v>
      </c>
      <c r="I58" s="196"/>
      <c r="J58" s="196"/>
      <c r="K58" s="196"/>
      <c r="L58" s="196"/>
      <c r="M58" s="196"/>
      <c r="N58" s="196"/>
      <c r="O58" s="196"/>
      <c r="P58" s="196"/>
      <c r="Q58" s="209"/>
      <c r="R58" s="209"/>
      <c r="S58" s="209"/>
      <c r="T58" s="209"/>
      <c r="U58" s="209"/>
      <c r="V58" s="209"/>
    </row>
    <row r="59" spans="1:22" s="198" customFormat="1" ht="10.5">
      <c r="A59" s="457">
        <f>Employee!A59</f>
        <v>0</v>
      </c>
      <c r="B59" s="458">
        <f>Employee!B59</f>
        <v>0</v>
      </c>
      <c r="C59" s="458">
        <f>Employee!C59</f>
        <v>0</v>
      </c>
      <c r="D59" s="458">
        <f>Employee!D59</f>
        <v>0</v>
      </c>
      <c r="E59" s="196">
        <v>1</v>
      </c>
      <c r="F59" s="196">
        <v>0</v>
      </c>
      <c r="G59" s="196">
        <v>0</v>
      </c>
      <c r="H59" s="298">
        <f t="shared" si="2"/>
        <v>0</v>
      </c>
      <c r="I59" s="196"/>
      <c r="J59" s="196"/>
      <c r="K59" s="196"/>
      <c r="L59" s="196"/>
      <c r="M59" s="196"/>
      <c r="N59" s="196"/>
      <c r="O59" s="196"/>
      <c r="P59" s="196"/>
      <c r="Q59" s="209"/>
      <c r="R59" s="209"/>
      <c r="S59" s="209"/>
      <c r="T59" s="209"/>
      <c r="U59" s="209"/>
      <c r="V59" s="209"/>
    </row>
    <row r="60" spans="1:22" s="198" customFormat="1" ht="10.5">
      <c r="A60" s="457">
        <f>Employee!A60</f>
        <v>0</v>
      </c>
      <c r="B60" s="458">
        <f>Employee!B60</f>
        <v>0</v>
      </c>
      <c r="C60" s="458">
        <f>Employee!C60</f>
        <v>0</v>
      </c>
      <c r="D60" s="458">
        <f>Employee!D60</f>
        <v>0</v>
      </c>
      <c r="E60" s="196">
        <v>1</v>
      </c>
      <c r="F60" s="196">
        <v>0</v>
      </c>
      <c r="G60" s="196">
        <v>0</v>
      </c>
      <c r="H60" s="298">
        <f t="shared" si="2"/>
        <v>0</v>
      </c>
      <c r="I60" s="196"/>
      <c r="J60" s="196"/>
      <c r="K60" s="196"/>
      <c r="L60" s="196"/>
      <c r="M60" s="196"/>
      <c r="N60" s="196"/>
      <c r="O60" s="196"/>
      <c r="P60" s="196"/>
      <c r="Q60" s="209"/>
      <c r="R60" s="209"/>
      <c r="S60" s="209"/>
      <c r="T60" s="209"/>
      <c r="U60" s="209"/>
      <c r="V60" s="209"/>
    </row>
    <row r="61" spans="1:22" s="198" customFormat="1" ht="10.5">
      <c r="A61" s="457">
        <f>Employee!A61</f>
        <v>0</v>
      </c>
      <c r="B61" s="458">
        <f>Employee!B61</f>
        <v>0</v>
      </c>
      <c r="C61" s="458">
        <f>Employee!C61</f>
        <v>0</v>
      </c>
      <c r="D61" s="458">
        <f>Employee!D61</f>
        <v>0</v>
      </c>
      <c r="E61" s="196">
        <v>1</v>
      </c>
      <c r="F61" s="196">
        <v>0</v>
      </c>
      <c r="G61" s="196">
        <v>0</v>
      </c>
      <c r="H61" s="298">
        <f t="shared" si="2"/>
        <v>0</v>
      </c>
      <c r="I61" s="196"/>
      <c r="J61" s="196"/>
      <c r="K61" s="196"/>
      <c r="L61" s="196"/>
      <c r="M61" s="196"/>
      <c r="N61" s="196"/>
      <c r="O61" s="196"/>
      <c r="P61" s="196"/>
      <c r="Q61" s="209"/>
      <c r="R61" s="209"/>
      <c r="S61" s="209"/>
      <c r="T61" s="209"/>
      <c r="U61" s="209"/>
      <c r="V61" s="209"/>
    </row>
    <row r="62" spans="1:22" s="198" customFormat="1" ht="10.5">
      <c r="A62" s="457">
        <f>Employee!A62</f>
        <v>0</v>
      </c>
      <c r="B62" s="458">
        <f>Employee!B62</f>
        <v>0</v>
      </c>
      <c r="C62" s="458">
        <f>Employee!C62</f>
        <v>0</v>
      </c>
      <c r="D62" s="458">
        <f>Employee!D62</f>
        <v>0</v>
      </c>
      <c r="E62" s="196">
        <v>1</v>
      </c>
      <c r="F62" s="196">
        <v>0</v>
      </c>
      <c r="G62" s="196">
        <v>0</v>
      </c>
      <c r="H62" s="298">
        <f t="shared" si="2"/>
        <v>0</v>
      </c>
      <c r="I62" s="196"/>
      <c r="J62" s="196"/>
      <c r="K62" s="196"/>
      <c r="L62" s="196"/>
      <c r="M62" s="196"/>
      <c r="N62" s="196"/>
      <c r="O62" s="196"/>
      <c r="P62" s="196"/>
      <c r="Q62" s="209"/>
      <c r="R62" s="209"/>
      <c r="S62" s="209"/>
      <c r="T62" s="209"/>
      <c r="U62" s="209"/>
      <c r="V62" s="209"/>
    </row>
    <row r="63" spans="1:22" s="198" customFormat="1" ht="10.5">
      <c r="A63" s="457">
        <f>Employee!A63</f>
        <v>0</v>
      </c>
      <c r="B63" s="458">
        <f>Employee!B63</f>
        <v>0</v>
      </c>
      <c r="C63" s="458">
        <f>Employee!C63</f>
        <v>0</v>
      </c>
      <c r="D63" s="458">
        <f>Employee!D63</f>
        <v>0</v>
      </c>
      <c r="E63" s="196">
        <v>1</v>
      </c>
      <c r="F63" s="196">
        <v>0</v>
      </c>
      <c r="G63" s="196">
        <v>0</v>
      </c>
      <c r="H63" s="298">
        <f t="shared" si="2"/>
        <v>0</v>
      </c>
      <c r="I63" s="196"/>
      <c r="J63" s="196"/>
      <c r="K63" s="196"/>
      <c r="L63" s="196"/>
      <c r="M63" s="196"/>
      <c r="N63" s="196"/>
      <c r="O63" s="196"/>
      <c r="P63" s="196"/>
      <c r="Q63" s="209"/>
      <c r="R63" s="209"/>
      <c r="S63" s="209"/>
      <c r="T63" s="209"/>
      <c r="U63" s="209"/>
      <c r="V63" s="209"/>
    </row>
    <row r="64" spans="1:22" s="198" customFormat="1" ht="10.5">
      <c r="A64" s="457">
        <f>Employee!A64</f>
        <v>0</v>
      </c>
      <c r="B64" s="458">
        <f>Employee!B64</f>
        <v>0</v>
      </c>
      <c r="C64" s="458">
        <f>Employee!C64</f>
        <v>0</v>
      </c>
      <c r="D64" s="458">
        <f>Employee!D64</f>
        <v>0</v>
      </c>
      <c r="E64" s="196">
        <v>1</v>
      </c>
      <c r="F64" s="196">
        <v>0</v>
      </c>
      <c r="G64" s="196">
        <v>0</v>
      </c>
      <c r="H64" s="298">
        <f t="shared" si="2"/>
        <v>0</v>
      </c>
      <c r="I64" s="196"/>
      <c r="J64" s="196"/>
      <c r="K64" s="196"/>
      <c r="L64" s="196"/>
      <c r="M64" s="196"/>
      <c r="N64" s="196"/>
      <c r="O64" s="196"/>
      <c r="P64" s="196"/>
      <c r="Q64" s="209"/>
      <c r="R64" s="209"/>
      <c r="S64" s="209"/>
      <c r="T64" s="209"/>
      <c r="U64" s="209"/>
      <c r="V64" s="209"/>
    </row>
    <row r="65" spans="1:22" s="198" customFormat="1" ht="10.5">
      <c r="A65" s="457">
        <f>Employee!A65</f>
        <v>0</v>
      </c>
      <c r="B65" s="458">
        <f>Employee!B65</f>
        <v>0</v>
      </c>
      <c r="C65" s="458">
        <f>Employee!C65</f>
        <v>0</v>
      </c>
      <c r="D65" s="458">
        <f>Employee!D65</f>
        <v>0</v>
      </c>
      <c r="E65" s="196">
        <v>1</v>
      </c>
      <c r="F65" s="196">
        <v>0</v>
      </c>
      <c r="G65" s="196">
        <v>0</v>
      </c>
      <c r="H65" s="298">
        <f t="shared" si="2"/>
        <v>0</v>
      </c>
      <c r="I65" s="196"/>
      <c r="J65" s="196"/>
      <c r="K65" s="196"/>
      <c r="L65" s="196"/>
      <c r="M65" s="196"/>
      <c r="N65" s="196"/>
      <c r="O65" s="196"/>
      <c r="P65" s="196"/>
      <c r="Q65" s="209"/>
      <c r="R65" s="209"/>
      <c r="S65" s="209"/>
      <c r="T65" s="209"/>
      <c r="U65" s="209"/>
      <c r="V65" s="209"/>
    </row>
    <row r="66" spans="1:22" s="198" customFormat="1" ht="10.5">
      <c r="A66" s="457">
        <f>Employee!A66</f>
        <v>0</v>
      </c>
      <c r="B66" s="458">
        <f>Employee!B66</f>
        <v>0</v>
      </c>
      <c r="C66" s="458">
        <f>Employee!C66</f>
        <v>0</v>
      </c>
      <c r="D66" s="458">
        <f>Employee!D66</f>
        <v>0</v>
      </c>
      <c r="E66" s="196">
        <v>1</v>
      </c>
      <c r="F66" s="196">
        <v>0</v>
      </c>
      <c r="G66" s="196">
        <v>0</v>
      </c>
      <c r="H66" s="298">
        <f t="shared" si="2"/>
        <v>0</v>
      </c>
      <c r="I66" s="196"/>
      <c r="J66" s="196"/>
      <c r="K66" s="196"/>
      <c r="L66" s="196"/>
      <c r="M66" s="196"/>
      <c r="N66" s="196"/>
      <c r="O66" s="196"/>
      <c r="P66" s="196"/>
      <c r="Q66" s="209"/>
      <c r="R66" s="209"/>
      <c r="S66" s="209"/>
      <c r="T66" s="209"/>
      <c r="U66" s="209"/>
      <c r="V66" s="209"/>
    </row>
    <row r="67" spans="1:22" s="198" customFormat="1" ht="10.5">
      <c r="A67" s="457">
        <f>Employee!A67</f>
        <v>0</v>
      </c>
      <c r="B67" s="458">
        <f>Employee!B67</f>
        <v>0</v>
      </c>
      <c r="C67" s="458">
        <f>Employee!C67</f>
        <v>0</v>
      </c>
      <c r="D67" s="458">
        <f>Employee!D67</f>
        <v>0</v>
      </c>
      <c r="E67" s="196">
        <v>1</v>
      </c>
      <c r="F67" s="196">
        <v>0</v>
      </c>
      <c r="G67" s="196">
        <v>0</v>
      </c>
      <c r="H67" s="298">
        <f t="shared" si="2"/>
        <v>0</v>
      </c>
      <c r="I67" s="196"/>
      <c r="J67" s="196"/>
      <c r="K67" s="196"/>
      <c r="L67" s="196"/>
      <c r="M67" s="196"/>
      <c r="N67" s="196"/>
      <c r="O67" s="196"/>
      <c r="P67" s="196"/>
      <c r="Q67" s="209"/>
      <c r="R67" s="209"/>
      <c r="S67" s="209"/>
      <c r="T67" s="209"/>
      <c r="U67" s="209"/>
      <c r="V67" s="209"/>
    </row>
    <row r="68" spans="1:22" s="198" customFormat="1" ht="10.5">
      <c r="A68" s="457">
        <f>Employee!A68</f>
        <v>0</v>
      </c>
      <c r="B68" s="458">
        <f>Employee!B68</f>
        <v>0</v>
      </c>
      <c r="C68" s="458">
        <f>Employee!C68</f>
        <v>0</v>
      </c>
      <c r="D68" s="458">
        <f>Employee!D68</f>
        <v>0</v>
      </c>
      <c r="E68" s="196">
        <v>1</v>
      </c>
      <c r="F68" s="196">
        <v>0</v>
      </c>
      <c r="G68" s="196">
        <v>0</v>
      </c>
      <c r="H68" s="298">
        <f t="shared" si="2"/>
        <v>0</v>
      </c>
      <c r="I68" s="196"/>
      <c r="J68" s="196"/>
      <c r="K68" s="196"/>
      <c r="L68" s="196"/>
      <c r="M68" s="196"/>
      <c r="N68" s="196"/>
      <c r="O68" s="196"/>
      <c r="P68" s="196"/>
      <c r="Q68" s="209"/>
      <c r="R68" s="209"/>
      <c r="S68" s="209"/>
      <c r="T68" s="209"/>
      <c r="U68" s="209"/>
      <c r="V68" s="209"/>
    </row>
    <row r="69" spans="1:22" s="198" customFormat="1" ht="10.5">
      <c r="A69" s="457">
        <f>Employee!A69</f>
        <v>0</v>
      </c>
      <c r="B69" s="458">
        <f>Employee!B69</f>
        <v>0</v>
      </c>
      <c r="C69" s="458">
        <f>Employee!C69</f>
        <v>0</v>
      </c>
      <c r="D69" s="458">
        <f>Employee!D69</f>
        <v>0</v>
      </c>
      <c r="E69" s="196">
        <v>1</v>
      </c>
      <c r="F69" s="196">
        <v>0</v>
      </c>
      <c r="G69" s="196">
        <v>0</v>
      </c>
      <c r="H69" s="298">
        <f t="shared" si="2"/>
        <v>0</v>
      </c>
      <c r="I69" s="196"/>
      <c r="J69" s="196"/>
      <c r="K69" s="196"/>
      <c r="L69" s="196"/>
      <c r="M69" s="196"/>
      <c r="N69" s="196"/>
      <c r="O69" s="196"/>
      <c r="P69" s="196"/>
      <c r="Q69" s="209"/>
      <c r="R69" s="209"/>
      <c r="S69" s="209"/>
      <c r="T69" s="209"/>
      <c r="U69" s="209"/>
      <c r="V69" s="209"/>
    </row>
    <row r="70" spans="1:22" s="198" customFormat="1" ht="10.5">
      <c r="A70" s="457">
        <f>Employee!A70</f>
        <v>0</v>
      </c>
      <c r="B70" s="458">
        <f>Employee!B70</f>
        <v>0</v>
      </c>
      <c r="C70" s="458">
        <f>Employee!C70</f>
        <v>0</v>
      </c>
      <c r="D70" s="458">
        <f>Employee!D70</f>
        <v>0</v>
      </c>
      <c r="E70" s="196">
        <v>1</v>
      </c>
      <c r="F70" s="196">
        <v>0</v>
      </c>
      <c r="G70" s="196">
        <v>0</v>
      </c>
      <c r="H70" s="298">
        <f>SUM(I70:V70)</f>
        <v>0</v>
      </c>
      <c r="I70" s="196"/>
      <c r="J70" s="196"/>
      <c r="K70" s="196"/>
      <c r="L70" s="196"/>
      <c r="M70" s="196"/>
      <c r="N70" s="196"/>
      <c r="O70" s="196"/>
      <c r="P70" s="196"/>
      <c r="Q70" s="209"/>
      <c r="R70" s="209"/>
      <c r="S70" s="209"/>
      <c r="T70" s="209"/>
      <c r="U70" s="209"/>
      <c r="V70" s="209"/>
    </row>
    <row r="71" spans="1:22" s="198" customFormat="1" ht="10.5">
      <c r="A71" s="457">
        <f>Employee!A71</f>
        <v>0</v>
      </c>
      <c r="B71" s="458">
        <f>Employee!B71</f>
        <v>0</v>
      </c>
      <c r="C71" s="458">
        <f>Employee!C71</f>
        <v>0</v>
      </c>
      <c r="D71" s="458">
        <f>Employee!D71</f>
        <v>0</v>
      </c>
      <c r="E71" s="196">
        <v>1</v>
      </c>
      <c r="F71" s="196">
        <v>0</v>
      </c>
      <c r="G71" s="196">
        <v>0</v>
      </c>
      <c r="H71" s="298">
        <f t="shared" ref="H71:H118" si="3">SUM(I71:V71)</f>
        <v>0</v>
      </c>
      <c r="I71" s="196"/>
      <c r="J71" s="196"/>
      <c r="K71" s="196"/>
      <c r="L71" s="196"/>
      <c r="M71" s="196"/>
      <c r="N71" s="196"/>
      <c r="O71" s="196"/>
      <c r="P71" s="196"/>
      <c r="Q71" s="209"/>
      <c r="R71" s="209"/>
      <c r="S71" s="209"/>
      <c r="T71" s="209"/>
      <c r="U71" s="209"/>
      <c r="V71" s="209"/>
    </row>
    <row r="72" spans="1:22" s="198" customFormat="1" ht="10.5">
      <c r="A72" s="457">
        <f>Employee!A72</f>
        <v>0</v>
      </c>
      <c r="B72" s="458">
        <f>Employee!B72</f>
        <v>0</v>
      </c>
      <c r="C72" s="458">
        <f>Employee!C72</f>
        <v>0</v>
      </c>
      <c r="D72" s="458">
        <f>Employee!D72</f>
        <v>0</v>
      </c>
      <c r="E72" s="196">
        <v>1</v>
      </c>
      <c r="F72" s="196">
        <v>0</v>
      </c>
      <c r="G72" s="196">
        <v>0</v>
      </c>
      <c r="H72" s="298">
        <f t="shared" si="3"/>
        <v>0</v>
      </c>
      <c r="I72" s="196"/>
      <c r="J72" s="196"/>
      <c r="K72" s="196"/>
      <c r="L72" s="196"/>
      <c r="M72" s="196"/>
      <c r="N72" s="196"/>
      <c r="O72" s="196"/>
      <c r="P72" s="196"/>
      <c r="Q72" s="209"/>
      <c r="R72" s="209"/>
      <c r="S72" s="209"/>
      <c r="T72" s="209"/>
      <c r="U72" s="209"/>
      <c r="V72" s="209"/>
    </row>
    <row r="73" spans="1:22" s="198" customFormat="1" ht="10.5">
      <c r="A73" s="457">
        <f>Employee!A73</f>
        <v>0</v>
      </c>
      <c r="B73" s="458">
        <f>Employee!B73</f>
        <v>0</v>
      </c>
      <c r="C73" s="458">
        <f>Employee!C73</f>
        <v>0</v>
      </c>
      <c r="D73" s="458">
        <f>Employee!D73</f>
        <v>0</v>
      </c>
      <c r="E73" s="196">
        <v>1</v>
      </c>
      <c r="F73" s="196">
        <v>0</v>
      </c>
      <c r="G73" s="196">
        <v>0</v>
      </c>
      <c r="H73" s="298">
        <f t="shared" si="3"/>
        <v>0</v>
      </c>
      <c r="I73" s="196"/>
      <c r="J73" s="196"/>
      <c r="K73" s="196"/>
      <c r="L73" s="196"/>
      <c r="M73" s="196"/>
      <c r="N73" s="196"/>
      <c r="O73" s="196"/>
      <c r="P73" s="196"/>
      <c r="Q73" s="209"/>
      <c r="R73" s="209"/>
      <c r="S73" s="209"/>
      <c r="T73" s="209"/>
      <c r="U73" s="209"/>
      <c r="V73" s="209"/>
    </row>
    <row r="74" spans="1:22" s="198" customFormat="1" ht="10.5">
      <c r="A74" s="457">
        <f>Employee!A74</f>
        <v>0</v>
      </c>
      <c r="B74" s="458">
        <f>Employee!B74</f>
        <v>0</v>
      </c>
      <c r="C74" s="458">
        <f>Employee!C74</f>
        <v>0</v>
      </c>
      <c r="D74" s="458">
        <f>Employee!D74</f>
        <v>0</v>
      </c>
      <c r="E74" s="196">
        <v>1</v>
      </c>
      <c r="F74" s="196">
        <v>0</v>
      </c>
      <c r="G74" s="196">
        <v>0</v>
      </c>
      <c r="H74" s="298">
        <f t="shared" si="3"/>
        <v>0</v>
      </c>
      <c r="I74" s="196"/>
      <c r="J74" s="196"/>
      <c r="K74" s="196"/>
      <c r="L74" s="196"/>
      <c r="M74" s="196"/>
      <c r="N74" s="196"/>
      <c r="O74" s="196"/>
      <c r="P74" s="196"/>
      <c r="Q74" s="209"/>
      <c r="R74" s="209"/>
      <c r="S74" s="209"/>
      <c r="T74" s="209"/>
      <c r="U74" s="209"/>
      <c r="V74" s="209"/>
    </row>
    <row r="75" spans="1:22" s="198" customFormat="1" ht="10.5">
      <c r="A75" s="457">
        <f>Employee!A75</f>
        <v>0</v>
      </c>
      <c r="B75" s="458">
        <f>Employee!B75</f>
        <v>0</v>
      </c>
      <c r="C75" s="458">
        <f>Employee!C75</f>
        <v>0</v>
      </c>
      <c r="D75" s="458">
        <f>Employee!D75</f>
        <v>0</v>
      </c>
      <c r="E75" s="196">
        <v>1</v>
      </c>
      <c r="F75" s="196">
        <v>0</v>
      </c>
      <c r="G75" s="196">
        <v>0</v>
      </c>
      <c r="H75" s="298">
        <f t="shared" si="3"/>
        <v>0</v>
      </c>
      <c r="I75" s="196"/>
      <c r="J75" s="196"/>
      <c r="K75" s="196"/>
      <c r="L75" s="196"/>
      <c r="M75" s="196"/>
      <c r="N75" s="196"/>
      <c r="O75" s="196"/>
      <c r="P75" s="196"/>
      <c r="Q75" s="209"/>
      <c r="R75" s="209"/>
      <c r="S75" s="209"/>
      <c r="T75" s="209"/>
      <c r="U75" s="209"/>
      <c r="V75" s="209"/>
    </row>
    <row r="76" spans="1:22" s="198" customFormat="1" ht="10.5">
      <c r="A76" s="457">
        <f>Employee!A76</f>
        <v>0</v>
      </c>
      <c r="B76" s="458">
        <f>Employee!B76</f>
        <v>0</v>
      </c>
      <c r="C76" s="458">
        <f>Employee!C76</f>
        <v>0</v>
      </c>
      <c r="D76" s="458">
        <f>Employee!D76</f>
        <v>0</v>
      </c>
      <c r="E76" s="196">
        <v>1</v>
      </c>
      <c r="F76" s="196">
        <v>0</v>
      </c>
      <c r="G76" s="196">
        <v>0</v>
      </c>
      <c r="H76" s="298">
        <f t="shared" si="3"/>
        <v>0</v>
      </c>
      <c r="I76" s="196"/>
      <c r="J76" s="196"/>
      <c r="K76" s="196"/>
      <c r="L76" s="196"/>
      <c r="M76" s="196"/>
      <c r="N76" s="196"/>
      <c r="O76" s="196"/>
      <c r="P76" s="196"/>
      <c r="Q76" s="209"/>
      <c r="R76" s="209"/>
      <c r="S76" s="209"/>
      <c r="T76" s="209"/>
      <c r="U76" s="209"/>
      <c r="V76" s="209"/>
    </row>
    <row r="77" spans="1:22" s="198" customFormat="1" ht="10.5">
      <c r="A77" s="457">
        <f>Employee!A77</f>
        <v>0</v>
      </c>
      <c r="B77" s="458">
        <f>Employee!B77</f>
        <v>0</v>
      </c>
      <c r="C77" s="458">
        <f>Employee!C77</f>
        <v>0</v>
      </c>
      <c r="D77" s="458">
        <f>Employee!D77</f>
        <v>0</v>
      </c>
      <c r="E77" s="196">
        <v>1</v>
      </c>
      <c r="F77" s="196">
        <v>0</v>
      </c>
      <c r="G77" s="196">
        <v>0</v>
      </c>
      <c r="H77" s="298">
        <f t="shared" si="3"/>
        <v>0</v>
      </c>
      <c r="I77" s="196"/>
      <c r="J77" s="196"/>
      <c r="K77" s="196"/>
      <c r="L77" s="196"/>
      <c r="M77" s="196"/>
      <c r="N77" s="196"/>
      <c r="O77" s="196"/>
      <c r="P77" s="196"/>
      <c r="Q77" s="209"/>
      <c r="R77" s="209"/>
      <c r="S77" s="209"/>
      <c r="T77" s="209"/>
      <c r="U77" s="209"/>
      <c r="V77" s="209"/>
    </row>
    <row r="78" spans="1:22" s="198" customFormat="1" ht="10.5">
      <c r="A78" s="457">
        <f>Employee!A78</f>
        <v>0</v>
      </c>
      <c r="B78" s="458">
        <f>Employee!B78</f>
        <v>0</v>
      </c>
      <c r="C78" s="458">
        <f>Employee!C78</f>
        <v>0</v>
      </c>
      <c r="D78" s="458">
        <f>Employee!D78</f>
        <v>0</v>
      </c>
      <c r="E78" s="196">
        <v>1</v>
      </c>
      <c r="F78" s="196">
        <v>0</v>
      </c>
      <c r="G78" s="196">
        <v>0</v>
      </c>
      <c r="H78" s="298">
        <f t="shared" si="3"/>
        <v>0</v>
      </c>
      <c r="I78" s="196"/>
      <c r="J78" s="196"/>
      <c r="K78" s="196"/>
      <c r="L78" s="196"/>
      <c r="M78" s="196"/>
      <c r="N78" s="196"/>
      <c r="O78" s="196"/>
      <c r="P78" s="196"/>
      <c r="Q78" s="209"/>
      <c r="R78" s="209"/>
      <c r="S78" s="209"/>
      <c r="T78" s="209"/>
      <c r="U78" s="209"/>
      <c r="V78" s="209"/>
    </row>
    <row r="79" spans="1:22" s="198" customFormat="1" ht="10.5">
      <c r="A79" s="457">
        <f>Employee!A79</f>
        <v>0</v>
      </c>
      <c r="B79" s="458">
        <f>Employee!B79</f>
        <v>0</v>
      </c>
      <c r="C79" s="458">
        <f>Employee!C79</f>
        <v>0</v>
      </c>
      <c r="D79" s="458">
        <f>Employee!D79</f>
        <v>0</v>
      </c>
      <c r="E79" s="196">
        <v>1</v>
      </c>
      <c r="F79" s="196">
        <v>0</v>
      </c>
      <c r="G79" s="196">
        <v>0</v>
      </c>
      <c r="H79" s="298">
        <f t="shared" si="3"/>
        <v>0</v>
      </c>
      <c r="I79" s="196"/>
      <c r="J79" s="196"/>
      <c r="K79" s="196"/>
      <c r="L79" s="196"/>
      <c r="M79" s="196"/>
      <c r="N79" s="196"/>
      <c r="O79" s="196"/>
      <c r="P79" s="196"/>
      <c r="Q79" s="209"/>
      <c r="R79" s="209"/>
      <c r="S79" s="209"/>
      <c r="T79" s="209"/>
      <c r="U79" s="209"/>
      <c r="V79" s="209"/>
    </row>
    <row r="80" spans="1:22" s="198" customFormat="1" ht="10.5">
      <c r="A80" s="457">
        <f>Employee!A80</f>
        <v>0</v>
      </c>
      <c r="B80" s="458">
        <f>Employee!B80</f>
        <v>0</v>
      </c>
      <c r="C80" s="458">
        <f>Employee!C80</f>
        <v>0</v>
      </c>
      <c r="D80" s="458">
        <f>Employee!D80</f>
        <v>0</v>
      </c>
      <c r="E80" s="196">
        <v>1</v>
      </c>
      <c r="F80" s="196">
        <v>0</v>
      </c>
      <c r="G80" s="196">
        <v>0</v>
      </c>
      <c r="H80" s="298">
        <f t="shared" si="3"/>
        <v>0</v>
      </c>
      <c r="I80" s="196"/>
      <c r="J80" s="196"/>
      <c r="K80" s="196"/>
      <c r="L80" s="196"/>
      <c r="M80" s="196"/>
      <c r="N80" s="196"/>
      <c r="O80" s="196"/>
      <c r="P80" s="196"/>
      <c r="Q80" s="209"/>
      <c r="R80" s="209"/>
      <c r="S80" s="209"/>
      <c r="T80" s="209"/>
      <c r="U80" s="209"/>
      <c r="V80" s="209"/>
    </row>
    <row r="81" spans="1:22" s="198" customFormat="1" ht="10.5">
      <c r="A81" s="457">
        <f>Employee!A81</f>
        <v>0</v>
      </c>
      <c r="B81" s="458">
        <f>Employee!B81</f>
        <v>0</v>
      </c>
      <c r="C81" s="458">
        <f>Employee!C81</f>
        <v>0</v>
      </c>
      <c r="D81" s="458">
        <f>Employee!D81</f>
        <v>0</v>
      </c>
      <c r="E81" s="196">
        <v>1</v>
      </c>
      <c r="F81" s="196">
        <v>0</v>
      </c>
      <c r="G81" s="196">
        <v>0</v>
      </c>
      <c r="H81" s="298">
        <f t="shared" si="3"/>
        <v>0</v>
      </c>
      <c r="I81" s="196"/>
      <c r="J81" s="196"/>
      <c r="K81" s="196"/>
      <c r="L81" s="196"/>
      <c r="M81" s="196"/>
      <c r="N81" s="196"/>
      <c r="O81" s="196"/>
      <c r="P81" s="196"/>
      <c r="Q81" s="209"/>
      <c r="R81" s="209"/>
      <c r="S81" s="209"/>
      <c r="T81" s="209"/>
      <c r="U81" s="209"/>
      <c r="V81" s="209"/>
    </row>
    <row r="82" spans="1:22" s="198" customFormat="1" ht="10.5">
      <c r="A82" s="457">
        <f>Employee!A82</f>
        <v>0</v>
      </c>
      <c r="B82" s="458">
        <f>Employee!B82</f>
        <v>0</v>
      </c>
      <c r="C82" s="458">
        <f>Employee!C82</f>
        <v>0</v>
      </c>
      <c r="D82" s="458">
        <f>Employee!D82</f>
        <v>0</v>
      </c>
      <c r="E82" s="196">
        <v>1</v>
      </c>
      <c r="F82" s="196">
        <v>0</v>
      </c>
      <c r="G82" s="196">
        <v>0</v>
      </c>
      <c r="H82" s="298">
        <f t="shared" si="3"/>
        <v>0</v>
      </c>
      <c r="I82" s="196"/>
      <c r="J82" s="196"/>
      <c r="K82" s="196"/>
      <c r="L82" s="196"/>
      <c r="M82" s="196"/>
      <c r="N82" s="196"/>
      <c r="O82" s="196"/>
      <c r="P82" s="196"/>
      <c r="Q82" s="209"/>
      <c r="R82" s="209"/>
      <c r="S82" s="209"/>
      <c r="T82" s="209"/>
      <c r="U82" s="209"/>
      <c r="V82" s="209"/>
    </row>
    <row r="83" spans="1:22" s="198" customFormat="1" ht="10.5">
      <c r="A83" s="457">
        <f>Employee!A83</f>
        <v>0</v>
      </c>
      <c r="B83" s="458">
        <f>Employee!B83</f>
        <v>0</v>
      </c>
      <c r="C83" s="458">
        <f>Employee!C83</f>
        <v>0</v>
      </c>
      <c r="D83" s="458">
        <f>Employee!D83</f>
        <v>0</v>
      </c>
      <c r="E83" s="196">
        <v>1</v>
      </c>
      <c r="F83" s="196">
        <v>0</v>
      </c>
      <c r="G83" s="196">
        <v>0</v>
      </c>
      <c r="H83" s="298">
        <f t="shared" si="3"/>
        <v>0</v>
      </c>
      <c r="I83" s="196"/>
      <c r="J83" s="196"/>
      <c r="K83" s="196"/>
      <c r="L83" s="196"/>
      <c r="M83" s="196"/>
      <c r="N83" s="196"/>
      <c r="O83" s="196"/>
      <c r="P83" s="196"/>
      <c r="Q83" s="209"/>
      <c r="R83" s="209"/>
      <c r="S83" s="209"/>
      <c r="T83" s="209"/>
      <c r="U83" s="209"/>
      <c r="V83" s="209"/>
    </row>
    <row r="84" spans="1:22" s="198" customFormat="1" ht="10.5">
      <c r="A84" s="457">
        <f>Employee!A84</f>
        <v>0</v>
      </c>
      <c r="B84" s="458">
        <f>Employee!B84</f>
        <v>0</v>
      </c>
      <c r="C84" s="458">
        <f>Employee!C84</f>
        <v>0</v>
      </c>
      <c r="D84" s="458">
        <f>Employee!D84</f>
        <v>0</v>
      </c>
      <c r="E84" s="196">
        <v>1</v>
      </c>
      <c r="F84" s="196">
        <v>0</v>
      </c>
      <c r="G84" s="196">
        <v>0</v>
      </c>
      <c r="H84" s="298">
        <f t="shared" si="3"/>
        <v>0</v>
      </c>
      <c r="I84" s="196"/>
      <c r="J84" s="196"/>
      <c r="K84" s="196"/>
      <c r="L84" s="196"/>
      <c r="M84" s="196"/>
      <c r="N84" s="196"/>
      <c r="O84" s="196"/>
      <c r="P84" s="196"/>
      <c r="Q84" s="209"/>
      <c r="R84" s="209"/>
      <c r="S84" s="209"/>
      <c r="T84" s="209"/>
      <c r="U84" s="209"/>
      <c r="V84" s="209"/>
    </row>
    <row r="85" spans="1:22" s="198" customFormat="1" ht="10.5">
      <c r="A85" s="457">
        <f>Employee!A85</f>
        <v>0</v>
      </c>
      <c r="B85" s="458">
        <f>Employee!B85</f>
        <v>0</v>
      </c>
      <c r="C85" s="458">
        <f>Employee!C85</f>
        <v>0</v>
      </c>
      <c r="D85" s="458">
        <f>Employee!D85</f>
        <v>0</v>
      </c>
      <c r="E85" s="196">
        <v>1</v>
      </c>
      <c r="F85" s="196">
        <v>0</v>
      </c>
      <c r="G85" s="196">
        <v>0</v>
      </c>
      <c r="H85" s="298">
        <f t="shared" si="3"/>
        <v>0</v>
      </c>
      <c r="I85" s="196"/>
      <c r="J85" s="196"/>
      <c r="K85" s="196"/>
      <c r="L85" s="196"/>
      <c r="M85" s="196"/>
      <c r="N85" s="196"/>
      <c r="O85" s="196"/>
      <c r="P85" s="196"/>
      <c r="Q85" s="209"/>
      <c r="R85" s="209"/>
      <c r="S85" s="209"/>
      <c r="T85" s="209"/>
      <c r="U85" s="209"/>
      <c r="V85" s="209"/>
    </row>
    <row r="86" spans="1:22" s="198" customFormat="1" ht="10.5">
      <c r="A86" s="457">
        <f>Employee!A86</f>
        <v>0</v>
      </c>
      <c r="B86" s="458">
        <f>Employee!B86</f>
        <v>0</v>
      </c>
      <c r="C86" s="458">
        <f>Employee!C86</f>
        <v>0</v>
      </c>
      <c r="D86" s="458">
        <f>Employee!D86</f>
        <v>0</v>
      </c>
      <c r="E86" s="196">
        <v>1</v>
      </c>
      <c r="F86" s="196">
        <v>0</v>
      </c>
      <c r="G86" s="196">
        <v>0</v>
      </c>
      <c r="H86" s="298">
        <f t="shared" si="3"/>
        <v>0</v>
      </c>
      <c r="I86" s="196"/>
      <c r="J86" s="196"/>
      <c r="K86" s="196"/>
      <c r="L86" s="196"/>
      <c r="M86" s="196"/>
      <c r="N86" s="196"/>
      <c r="O86" s="196"/>
      <c r="P86" s="196"/>
      <c r="Q86" s="209"/>
      <c r="R86" s="209"/>
      <c r="S86" s="209"/>
      <c r="T86" s="209"/>
      <c r="U86" s="209"/>
      <c r="V86" s="209"/>
    </row>
    <row r="87" spans="1:22" s="198" customFormat="1" ht="10.5">
      <c r="A87" s="457">
        <f>Employee!A87</f>
        <v>0</v>
      </c>
      <c r="B87" s="458">
        <f>Employee!B87</f>
        <v>0</v>
      </c>
      <c r="C87" s="458">
        <f>Employee!C87</f>
        <v>0</v>
      </c>
      <c r="D87" s="458">
        <f>Employee!D87</f>
        <v>0</v>
      </c>
      <c r="E87" s="196">
        <v>1</v>
      </c>
      <c r="F87" s="196">
        <v>0</v>
      </c>
      <c r="G87" s="196">
        <v>0</v>
      </c>
      <c r="H87" s="298">
        <f t="shared" si="3"/>
        <v>0</v>
      </c>
      <c r="I87" s="196"/>
      <c r="J87" s="196"/>
      <c r="K87" s="196"/>
      <c r="L87" s="196"/>
      <c r="M87" s="196"/>
      <c r="N87" s="196"/>
      <c r="O87" s="196"/>
      <c r="P87" s="196"/>
      <c r="Q87" s="209"/>
      <c r="R87" s="209"/>
      <c r="S87" s="209"/>
      <c r="T87" s="209"/>
      <c r="U87" s="209"/>
      <c r="V87" s="209"/>
    </row>
    <row r="88" spans="1:22" s="198" customFormat="1" ht="10.5">
      <c r="A88" s="457">
        <f>Employee!A88</f>
        <v>0</v>
      </c>
      <c r="B88" s="458">
        <f>Employee!B88</f>
        <v>0</v>
      </c>
      <c r="C88" s="458">
        <f>Employee!C88</f>
        <v>0</v>
      </c>
      <c r="D88" s="458">
        <f>Employee!D88</f>
        <v>0</v>
      </c>
      <c r="E88" s="196">
        <v>1</v>
      </c>
      <c r="F88" s="196">
        <v>0</v>
      </c>
      <c r="G88" s="196">
        <v>0</v>
      </c>
      <c r="H88" s="298">
        <f t="shared" si="3"/>
        <v>0</v>
      </c>
      <c r="I88" s="196"/>
      <c r="J88" s="196"/>
      <c r="K88" s="196"/>
      <c r="L88" s="196"/>
      <c r="M88" s="196"/>
      <c r="N88" s="196"/>
      <c r="O88" s="196"/>
      <c r="P88" s="196"/>
      <c r="Q88" s="209"/>
      <c r="R88" s="209"/>
      <c r="S88" s="209"/>
      <c r="T88" s="209"/>
      <c r="U88" s="209"/>
      <c r="V88" s="209"/>
    </row>
    <row r="89" spans="1:22" s="198" customFormat="1" ht="10.5">
      <c r="A89" s="457">
        <f>Employee!A89</f>
        <v>0</v>
      </c>
      <c r="B89" s="458">
        <f>Employee!B89</f>
        <v>0</v>
      </c>
      <c r="C89" s="458">
        <f>Employee!C89</f>
        <v>0</v>
      </c>
      <c r="D89" s="458">
        <f>Employee!D89</f>
        <v>0</v>
      </c>
      <c r="E89" s="196">
        <v>1</v>
      </c>
      <c r="F89" s="196">
        <v>0</v>
      </c>
      <c r="G89" s="196">
        <v>0</v>
      </c>
      <c r="H89" s="298">
        <f t="shared" si="3"/>
        <v>0</v>
      </c>
      <c r="I89" s="196"/>
      <c r="J89" s="196"/>
      <c r="K89" s="196"/>
      <c r="L89" s="196"/>
      <c r="M89" s="196"/>
      <c r="N89" s="196"/>
      <c r="O89" s="196"/>
      <c r="P89" s="196"/>
      <c r="Q89" s="209"/>
      <c r="R89" s="209"/>
      <c r="S89" s="209"/>
      <c r="T89" s="209"/>
      <c r="U89" s="209"/>
      <c r="V89" s="209"/>
    </row>
    <row r="90" spans="1:22" s="198" customFormat="1" ht="10.5">
      <c r="A90" s="457">
        <f>Employee!A90</f>
        <v>0</v>
      </c>
      <c r="B90" s="458">
        <f>Employee!B90</f>
        <v>0</v>
      </c>
      <c r="C90" s="458">
        <f>Employee!C90</f>
        <v>0</v>
      </c>
      <c r="D90" s="458">
        <f>Employee!D90</f>
        <v>0</v>
      </c>
      <c r="E90" s="196">
        <v>1</v>
      </c>
      <c r="F90" s="196">
        <v>0</v>
      </c>
      <c r="G90" s="196">
        <v>0</v>
      </c>
      <c r="H90" s="298">
        <f t="shared" si="3"/>
        <v>0</v>
      </c>
      <c r="I90" s="196"/>
      <c r="J90" s="196"/>
      <c r="K90" s="196"/>
      <c r="L90" s="196"/>
      <c r="M90" s="196"/>
      <c r="N90" s="196"/>
      <c r="O90" s="196"/>
      <c r="P90" s="196"/>
      <c r="Q90" s="209"/>
      <c r="R90" s="209"/>
      <c r="S90" s="209"/>
      <c r="T90" s="209"/>
      <c r="U90" s="209"/>
      <c r="V90" s="209"/>
    </row>
    <row r="91" spans="1:22" s="198" customFormat="1" ht="10.5">
      <c r="A91" s="457">
        <f>Employee!A91</f>
        <v>0</v>
      </c>
      <c r="B91" s="458">
        <f>Employee!B91</f>
        <v>0</v>
      </c>
      <c r="C91" s="458">
        <f>Employee!C91</f>
        <v>0</v>
      </c>
      <c r="D91" s="458">
        <f>Employee!D91</f>
        <v>0</v>
      </c>
      <c r="E91" s="196">
        <v>1</v>
      </c>
      <c r="F91" s="196">
        <v>0</v>
      </c>
      <c r="G91" s="196">
        <v>0</v>
      </c>
      <c r="H91" s="298">
        <f t="shared" si="3"/>
        <v>0</v>
      </c>
      <c r="I91" s="196"/>
      <c r="J91" s="196"/>
      <c r="K91" s="196"/>
      <c r="L91" s="196"/>
      <c r="M91" s="196"/>
      <c r="N91" s="196"/>
      <c r="O91" s="196"/>
      <c r="P91" s="196"/>
      <c r="Q91" s="209"/>
      <c r="R91" s="209"/>
      <c r="S91" s="209"/>
      <c r="T91" s="209"/>
      <c r="U91" s="209"/>
      <c r="V91" s="209"/>
    </row>
    <row r="92" spans="1:22" s="198" customFormat="1" ht="10.5">
      <c r="A92" s="457">
        <f>Employee!A92</f>
        <v>0</v>
      </c>
      <c r="B92" s="458">
        <f>Employee!B92</f>
        <v>0</v>
      </c>
      <c r="C92" s="458">
        <f>Employee!C92</f>
        <v>0</v>
      </c>
      <c r="D92" s="458">
        <f>Employee!D92</f>
        <v>0</v>
      </c>
      <c r="E92" s="196">
        <v>1</v>
      </c>
      <c r="F92" s="196">
        <v>0</v>
      </c>
      <c r="G92" s="196">
        <v>0</v>
      </c>
      <c r="H92" s="298">
        <f t="shared" si="3"/>
        <v>0</v>
      </c>
      <c r="I92" s="196"/>
      <c r="J92" s="196"/>
      <c r="K92" s="196"/>
      <c r="L92" s="196"/>
      <c r="M92" s="196"/>
      <c r="N92" s="196"/>
      <c r="O92" s="196"/>
      <c r="P92" s="196"/>
      <c r="Q92" s="209"/>
      <c r="R92" s="209"/>
      <c r="S92" s="209"/>
      <c r="T92" s="209"/>
      <c r="U92" s="209"/>
      <c r="V92" s="209"/>
    </row>
    <row r="93" spans="1:22" s="198" customFormat="1" ht="10.5">
      <c r="A93" s="457">
        <f>Employee!A93</f>
        <v>0</v>
      </c>
      <c r="B93" s="458">
        <f>Employee!B93</f>
        <v>0</v>
      </c>
      <c r="C93" s="458">
        <f>Employee!C93</f>
        <v>0</v>
      </c>
      <c r="D93" s="458">
        <f>Employee!D93</f>
        <v>0</v>
      </c>
      <c r="E93" s="196">
        <v>1</v>
      </c>
      <c r="F93" s="196">
        <v>0</v>
      </c>
      <c r="G93" s="196">
        <v>0</v>
      </c>
      <c r="H93" s="298">
        <f t="shared" si="3"/>
        <v>0</v>
      </c>
      <c r="I93" s="196"/>
      <c r="J93" s="196"/>
      <c r="K93" s="196"/>
      <c r="L93" s="196"/>
      <c r="M93" s="196"/>
      <c r="N93" s="196"/>
      <c r="O93" s="196"/>
      <c r="P93" s="196"/>
      <c r="Q93" s="209"/>
      <c r="R93" s="209"/>
      <c r="S93" s="209"/>
      <c r="T93" s="209"/>
      <c r="U93" s="209"/>
      <c r="V93" s="209"/>
    </row>
    <row r="94" spans="1:22" s="198" customFormat="1" ht="10.5">
      <c r="A94" s="457">
        <f>Employee!A94</f>
        <v>0</v>
      </c>
      <c r="B94" s="458">
        <f>Employee!B94</f>
        <v>0</v>
      </c>
      <c r="C94" s="458">
        <f>Employee!C94</f>
        <v>0</v>
      </c>
      <c r="D94" s="458">
        <f>Employee!D94</f>
        <v>0</v>
      </c>
      <c r="E94" s="196">
        <v>1</v>
      </c>
      <c r="F94" s="196">
        <v>0</v>
      </c>
      <c r="G94" s="196">
        <v>0</v>
      </c>
      <c r="H94" s="298">
        <f t="shared" si="3"/>
        <v>0</v>
      </c>
      <c r="I94" s="196"/>
      <c r="J94" s="196"/>
      <c r="K94" s="196"/>
      <c r="L94" s="196"/>
      <c r="M94" s="196"/>
      <c r="N94" s="196"/>
      <c r="O94" s="196"/>
      <c r="P94" s="196"/>
      <c r="Q94" s="209"/>
      <c r="R94" s="209"/>
      <c r="S94" s="209"/>
      <c r="T94" s="209"/>
      <c r="U94" s="209"/>
      <c r="V94" s="209"/>
    </row>
    <row r="95" spans="1:22" s="198" customFormat="1" ht="10.5">
      <c r="A95" s="457">
        <f>Employee!A95</f>
        <v>0</v>
      </c>
      <c r="B95" s="458">
        <f>Employee!B95</f>
        <v>0</v>
      </c>
      <c r="C95" s="458">
        <f>Employee!C95</f>
        <v>0</v>
      </c>
      <c r="D95" s="458">
        <f>Employee!D95</f>
        <v>0</v>
      </c>
      <c r="E95" s="196">
        <v>1</v>
      </c>
      <c r="F95" s="196">
        <v>0</v>
      </c>
      <c r="G95" s="196">
        <v>0</v>
      </c>
      <c r="H95" s="298">
        <f t="shared" si="3"/>
        <v>0</v>
      </c>
      <c r="I95" s="196"/>
      <c r="J95" s="196"/>
      <c r="K95" s="196"/>
      <c r="L95" s="196"/>
      <c r="M95" s="196"/>
      <c r="N95" s="196"/>
      <c r="O95" s="196"/>
      <c r="P95" s="196"/>
      <c r="Q95" s="209"/>
      <c r="R95" s="209"/>
      <c r="S95" s="209"/>
      <c r="T95" s="209"/>
      <c r="U95" s="209"/>
      <c r="V95" s="209"/>
    </row>
    <row r="96" spans="1:22" s="198" customFormat="1" ht="10.5">
      <c r="A96" s="457">
        <f>Employee!A96</f>
        <v>0</v>
      </c>
      <c r="B96" s="458">
        <f>Employee!B96</f>
        <v>0</v>
      </c>
      <c r="C96" s="458">
        <f>Employee!C96</f>
        <v>0</v>
      </c>
      <c r="D96" s="458">
        <f>Employee!D96</f>
        <v>0</v>
      </c>
      <c r="E96" s="196">
        <v>1</v>
      </c>
      <c r="F96" s="196">
        <v>0</v>
      </c>
      <c r="G96" s="196">
        <v>0</v>
      </c>
      <c r="H96" s="298">
        <f t="shared" si="3"/>
        <v>0</v>
      </c>
      <c r="I96" s="196"/>
      <c r="J96" s="196"/>
      <c r="K96" s="196"/>
      <c r="L96" s="196"/>
      <c r="M96" s="196"/>
      <c r="N96" s="196"/>
      <c r="O96" s="196"/>
      <c r="P96" s="196"/>
      <c r="Q96" s="209"/>
      <c r="R96" s="209"/>
      <c r="S96" s="209"/>
      <c r="T96" s="209"/>
      <c r="U96" s="209"/>
      <c r="V96" s="209"/>
    </row>
    <row r="97" spans="1:22" s="198" customFormat="1" ht="10.5">
      <c r="A97" s="457">
        <f>Employee!A97</f>
        <v>0</v>
      </c>
      <c r="B97" s="458">
        <f>Employee!B97</f>
        <v>0</v>
      </c>
      <c r="C97" s="458">
        <f>Employee!C97</f>
        <v>0</v>
      </c>
      <c r="D97" s="458">
        <f>Employee!D97</f>
        <v>0</v>
      </c>
      <c r="E97" s="196">
        <v>1</v>
      </c>
      <c r="F97" s="196">
        <v>0</v>
      </c>
      <c r="G97" s="196">
        <v>0</v>
      </c>
      <c r="H97" s="298">
        <f t="shared" si="3"/>
        <v>0</v>
      </c>
      <c r="I97" s="196"/>
      <c r="J97" s="196"/>
      <c r="K97" s="196"/>
      <c r="L97" s="196"/>
      <c r="M97" s="196"/>
      <c r="N97" s="196"/>
      <c r="O97" s="196"/>
      <c r="P97" s="196"/>
      <c r="Q97" s="209"/>
      <c r="R97" s="209"/>
      <c r="S97" s="209"/>
      <c r="T97" s="209"/>
      <c r="U97" s="209"/>
      <c r="V97" s="209"/>
    </row>
    <row r="98" spans="1:22" s="198" customFormat="1" ht="10.5">
      <c r="A98" s="457">
        <f>Employee!A98</f>
        <v>0</v>
      </c>
      <c r="B98" s="458">
        <f>Employee!B98</f>
        <v>0</v>
      </c>
      <c r="C98" s="458">
        <f>Employee!C98</f>
        <v>0</v>
      </c>
      <c r="D98" s="458">
        <f>Employee!D98</f>
        <v>0</v>
      </c>
      <c r="E98" s="196">
        <v>1</v>
      </c>
      <c r="F98" s="196">
        <v>0</v>
      </c>
      <c r="G98" s="196">
        <v>0</v>
      </c>
      <c r="H98" s="298">
        <f t="shared" si="3"/>
        <v>0</v>
      </c>
      <c r="I98" s="196"/>
      <c r="J98" s="196"/>
      <c r="K98" s="196"/>
      <c r="L98" s="196"/>
      <c r="M98" s="196"/>
      <c r="N98" s="196"/>
      <c r="O98" s="196"/>
      <c r="P98" s="196"/>
      <c r="Q98" s="209"/>
      <c r="R98" s="209"/>
      <c r="S98" s="209"/>
      <c r="T98" s="209"/>
      <c r="U98" s="209"/>
      <c r="V98" s="209"/>
    </row>
    <row r="99" spans="1:22" s="198" customFormat="1" ht="10.5">
      <c r="A99" s="457">
        <f>Employee!A99</f>
        <v>0</v>
      </c>
      <c r="B99" s="458">
        <f>Employee!B99</f>
        <v>0</v>
      </c>
      <c r="C99" s="458">
        <f>Employee!C99</f>
        <v>0</v>
      </c>
      <c r="D99" s="458">
        <f>Employee!D99</f>
        <v>0</v>
      </c>
      <c r="E99" s="196">
        <v>1</v>
      </c>
      <c r="F99" s="196">
        <v>0</v>
      </c>
      <c r="G99" s="196">
        <v>0</v>
      </c>
      <c r="H99" s="298">
        <f t="shared" si="3"/>
        <v>0</v>
      </c>
      <c r="I99" s="196"/>
      <c r="J99" s="196"/>
      <c r="K99" s="196"/>
      <c r="L99" s="196"/>
      <c r="M99" s="196"/>
      <c r="N99" s="196"/>
      <c r="O99" s="196"/>
      <c r="P99" s="196"/>
      <c r="Q99" s="209"/>
      <c r="R99" s="209"/>
      <c r="S99" s="209"/>
      <c r="T99" s="209"/>
      <c r="U99" s="209"/>
      <c r="V99" s="209"/>
    </row>
    <row r="100" spans="1:22" s="198" customFormat="1" ht="10.5">
      <c r="A100" s="457">
        <f>Employee!A100</f>
        <v>0</v>
      </c>
      <c r="B100" s="458">
        <f>Employee!B100</f>
        <v>0</v>
      </c>
      <c r="C100" s="458">
        <f>Employee!C100</f>
        <v>0</v>
      </c>
      <c r="D100" s="458">
        <f>Employee!D100</f>
        <v>0</v>
      </c>
      <c r="E100" s="196">
        <v>1</v>
      </c>
      <c r="F100" s="196">
        <v>0</v>
      </c>
      <c r="G100" s="196">
        <v>0</v>
      </c>
      <c r="H100" s="298">
        <f t="shared" si="3"/>
        <v>0</v>
      </c>
      <c r="I100" s="196"/>
      <c r="J100" s="196"/>
      <c r="K100" s="196"/>
      <c r="L100" s="196"/>
      <c r="M100" s="196"/>
      <c r="N100" s="196"/>
      <c r="O100" s="196"/>
      <c r="P100" s="196"/>
      <c r="Q100" s="209"/>
      <c r="R100" s="209"/>
      <c r="S100" s="209"/>
      <c r="T100" s="209"/>
      <c r="U100" s="209"/>
      <c r="V100" s="209"/>
    </row>
    <row r="101" spans="1:22" s="198" customFormat="1" ht="10.5">
      <c r="A101" s="457">
        <f>Employee!A101</f>
        <v>0</v>
      </c>
      <c r="B101" s="458">
        <f>Employee!B101</f>
        <v>0</v>
      </c>
      <c r="C101" s="458">
        <f>Employee!C101</f>
        <v>0</v>
      </c>
      <c r="D101" s="458">
        <f>Employee!D101</f>
        <v>0</v>
      </c>
      <c r="E101" s="196">
        <v>1</v>
      </c>
      <c r="F101" s="196">
        <v>0</v>
      </c>
      <c r="G101" s="196">
        <v>0</v>
      </c>
      <c r="H101" s="298">
        <f t="shared" si="3"/>
        <v>0</v>
      </c>
      <c r="I101" s="196"/>
      <c r="J101" s="196"/>
      <c r="K101" s="196"/>
      <c r="L101" s="196"/>
      <c r="M101" s="196"/>
      <c r="N101" s="196"/>
      <c r="O101" s="196"/>
      <c r="P101" s="196"/>
      <c r="Q101" s="209"/>
      <c r="R101" s="209"/>
      <c r="S101" s="209"/>
      <c r="T101" s="209"/>
      <c r="U101" s="209"/>
      <c r="V101" s="209"/>
    </row>
    <row r="102" spans="1:22" s="198" customFormat="1" ht="10.5">
      <c r="A102" s="457">
        <f>Employee!A102</f>
        <v>0</v>
      </c>
      <c r="B102" s="458">
        <f>Employee!B102</f>
        <v>0</v>
      </c>
      <c r="C102" s="458">
        <f>Employee!C102</f>
        <v>0</v>
      </c>
      <c r="D102" s="458">
        <f>Employee!D102</f>
        <v>0</v>
      </c>
      <c r="E102" s="196">
        <v>1</v>
      </c>
      <c r="F102" s="196">
        <v>0</v>
      </c>
      <c r="G102" s="196">
        <v>0</v>
      </c>
      <c r="H102" s="298">
        <f t="shared" si="3"/>
        <v>0</v>
      </c>
      <c r="I102" s="196"/>
      <c r="J102" s="196"/>
      <c r="K102" s="196"/>
      <c r="L102" s="196"/>
      <c r="M102" s="196"/>
      <c r="N102" s="196"/>
      <c r="O102" s="196"/>
      <c r="P102" s="196"/>
      <c r="Q102" s="209"/>
      <c r="R102" s="209"/>
      <c r="S102" s="209"/>
      <c r="T102" s="209"/>
      <c r="U102" s="209"/>
      <c r="V102" s="209"/>
    </row>
    <row r="103" spans="1:22" s="198" customFormat="1" ht="10.5">
      <c r="A103" s="457">
        <f>Employee!A103</f>
        <v>0</v>
      </c>
      <c r="B103" s="458">
        <f>Employee!B103</f>
        <v>0</v>
      </c>
      <c r="C103" s="458">
        <f>Employee!C103</f>
        <v>0</v>
      </c>
      <c r="D103" s="458">
        <f>Employee!D103</f>
        <v>0</v>
      </c>
      <c r="E103" s="196">
        <v>1</v>
      </c>
      <c r="F103" s="196">
        <v>0</v>
      </c>
      <c r="G103" s="196">
        <v>0</v>
      </c>
      <c r="H103" s="298">
        <f t="shared" si="3"/>
        <v>0</v>
      </c>
      <c r="I103" s="196"/>
      <c r="J103" s="196"/>
      <c r="K103" s="196"/>
      <c r="L103" s="196"/>
      <c r="M103" s="196"/>
      <c r="N103" s="196"/>
      <c r="O103" s="196"/>
      <c r="P103" s="196"/>
      <c r="Q103" s="209"/>
      <c r="R103" s="209"/>
      <c r="S103" s="209"/>
      <c r="T103" s="209"/>
      <c r="U103" s="209"/>
      <c r="V103" s="209"/>
    </row>
    <row r="104" spans="1:22" s="198" customFormat="1" ht="10.5">
      <c r="A104" s="457">
        <f>Employee!A104</f>
        <v>0</v>
      </c>
      <c r="B104" s="458">
        <f>Employee!B104</f>
        <v>0</v>
      </c>
      <c r="C104" s="458">
        <f>Employee!C104</f>
        <v>0</v>
      </c>
      <c r="D104" s="458">
        <f>Employee!D104</f>
        <v>0</v>
      </c>
      <c r="E104" s="196">
        <v>1</v>
      </c>
      <c r="F104" s="196">
        <v>0</v>
      </c>
      <c r="G104" s="196">
        <v>0</v>
      </c>
      <c r="H104" s="298">
        <f t="shared" si="3"/>
        <v>0</v>
      </c>
      <c r="I104" s="196"/>
      <c r="J104" s="196"/>
      <c r="K104" s="196"/>
      <c r="L104" s="196"/>
      <c r="M104" s="196"/>
      <c r="N104" s="196"/>
      <c r="O104" s="196"/>
      <c r="P104" s="196"/>
      <c r="Q104" s="209"/>
      <c r="R104" s="209"/>
      <c r="S104" s="209"/>
      <c r="T104" s="209"/>
      <c r="U104" s="209"/>
      <c r="V104" s="209"/>
    </row>
    <row r="105" spans="1:22" s="198" customFormat="1" ht="10.5">
      <c r="A105" s="457">
        <f>Employee!A105</f>
        <v>0</v>
      </c>
      <c r="B105" s="458">
        <f>Employee!B105</f>
        <v>0</v>
      </c>
      <c r="C105" s="458">
        <f>Employee!C105</f>
        <v>0</v>
      </c>
      <c r="D105" s="458">
        <f>Employee!D105</f>
        <v>0</v>
      </c>
      <c r="E105" s="196">
        <v>1</v>
      </c>
      <c r="F105" s="196">
        <v>0</v>
      </c>
      <c r="G105" s="196">
        <v>0</v>
      </c>
      <c r="H105" s="298">
        <f t="shared" si="3"/>
        <v>0</v>
      </c>
      <c r="I105" s="196"/>
      <c r="J105" s="196"/>
      <c r="K105" s="196"/>
      <c r="L105" s="196"/>
      <c r="M105" s="196"/>
      <c r="N105" s="196"/>
      <c r="O105" s="196"/>
      <c r="P105" s="196"/>
      <c r="Q105" s="209"/>
      <c r="R105" s="209"/>
      <c r="S105" s="209"/>
      <c r="T105" s="209"/>
      <c r="U105" s="209"/>
      <c r="V105" s="209"/>
    </row>
    <row r="106" spans="1:22" s="198" customFormat="1" ht="10.5">
      <c r="A106" s="457">
        <f>Employee!A106</f>
        <v>0</v>
      </c>
      <c r="B106" s="458">
        <f>Employee!B106</f>
        <v>0</v>
      </c>
      <c r="C106" s="458">
        <f>Employee!C106</f>
        <v>0</v>
      </c>
      <c r="D106" s="458">
        <f>Employee!D106</f>
        <v>0</v>
      </c>
      <c r="E106" s="196">
        <v>1</v>
      </c>
      <c r="F106" s="196">
        <v>0</v>
      </c>
      <c r="G106" s="196">
        <v>0</v>
      </c>
      <c r="H106" s="298">
        <f t="shared" si="3"/>
        <v>0</v>
      </c>
      <c r="I106" s="196"/>
      <c r="J106" s="196"/>
      <c r="K106" s="196"/>
      <c r="L106" s="196"/>
      <c r="M106" s="196"/>
      <c r="N106" s="196"/>
      <c r="O106" s="196"/>
      <c r="P106" s="196"/>
      <c r="Q106" s="209"/>
      <c r="R106" s="209"/>
      <c r="S106" s="209"/>
      <c r="T106" s="209"/>
      <c r="U106" s="209"/>
      <c r="V106" s="209"/>
    </row>
    <row r="107" spans="1:22" s="198" customFormat="1" ht="10.5">
      <c r="A107" s="457">
        <f>Employee!A107</f>
        <v>0</v>
      </c>
      <c r="B107" s="458">
        <f>Employee!B107</f>
        <v>0</v>
      </c>
      <c r="C107" s="458">
        <f>Employee!C107</f>
        <v>0</v>
      </c>
      <c r="D107" s="458">
        <f>Employee!D107</f>
        <v>0</v>
      </c>
      <c r="E107" s="196">
        <v>1</v>
      </c>
      <c r="F107" s="196">
        <v>0</v>
      </c>
      <c r="G107" s="196">
        <v>0</v>
      </c>
      <c r="H107" s="298">
        <f t="shared" si="3"/>
        <v>0</v>
      </c>
      <c r="I107" s="196"/>
      <c r="J107" s="196"/>
      <c r="K107" s="196"/>
      <c r="L107" s="196"/>
      <c r="M107" s="196"/>
      <c r="N107" s="196"/>
      <c r="O107" s="196"/>
      <c r="P107" s="196"/>
      <c r="Q107" s="209"/>
      <c r="R107" s="209"/>
      <c r="S107" s="209"/>
      <c r="T107" s="209"/>
      <c r="U107" s="209"/>
      <c r="V107" s="209"/>
    </row>
    <row r="108" spans="1:22" s="198" customFormat="1" ht="10.5">
      <c r="A108" s="457">
        <f>Employee!A108</f>
        <v>0</v>
      </c>
      <c r="B108" s="458">
        <f>Employee!B108</f>
        <v>0</v>
      </c>
      <c r="C108" s="458">
        <f>Employee!C108</f>
        <v>0</v>
      </c>
      <c r="D108" s="458">
        <f>Employee!D108</f>
        <v>0</v>
      </c>
      <c r="E108" s="196">
        <v>1</v>
      </c>
      <c r="F108" s="196">
        <v>0</v>
      </c>
      <c r="G108" s="196">
        <v>0</v>
      </c>
      <c r="H108" s="298">
        <f t="shared" si="3"/>
        <v>0</v>
      </c>
      <c r="I108" s="196"/>
      <c r="J108" s="196"/>
      <c r="K108" s="196"/>
      <c r="L108" s="196"/>
      <c r="M108" s="196"/>
      <c r="N108" s="196"/>
      <c r="O108" s="196"/>
      <c r="P108" s="196"/>
      <c r="Q108" s="209"/>
      <c r="R108" s="209"/>
      <c r="S108" s="209"/>
      <c r="T108" s="209"/>
      <c r="U108" s="209"/>
      <c r="V108" s="209"/>
    </row>
    <row r="109" spans="1:22" s="198" customFormat="1" ht="10.5">
      <c r="A109" s="457">
        <f>Employee!A109</f>
        <v>0</v>
      </c>
      <c r="B109" s="458">
        <f>Employee!B109</f>
        <v>0</v>
      </c>
      <c r="C109" s="458">
        <f>Employee!C109</f>
        <v>0</v>
      </c>
      <c r="D109" s="458">
        <f>Employee!D109</f>
        <v>0</v>
      </c>
      <c r="E109" s="196">
        <v>1</v>
      </c>
      <c r="F109" s="196">
        <v>0</v>
      </c>
      <c r="G109" s="196">
        <v>0</v>
      </c>
      <c r="H109" s="298">
        <f t="shared" si="3"/>
        <v>0</v>
      </c>
      <c r="I109" s="196"/>
      <c r="J109" s="196"/>
      <c r="K109" s="196"/>
      <c r="L109" s="196"/>
      <c r="M109" s="196"/>
      <c r="N109" s="196"/>
      <c r="O109" s="196"/>
      <c r="P109" s="196"/>
      <c r="Q109" s="209"/>
      <c r="R109" s="209"/>
      <c r="S109" s="209"/>
      <c r="T109" s="209"/>
      <c r="U109" s="209"/>
      <c r="V109" s="209"/>
    </row>
    <row r="110" spans="1:22" s="198" customFormat="1" ht="10.5">
      <c r="A110" s="457">
        <f>Employee!A110</f>
        <v>0</v>
      </c>
      <c r="B110" s="458">
        <f>Employee!B110</f>
        <v>0</v>
      </c>
      <c r="C110" s="458">
        <f>Employee!C110</f>
        <v>0</v>
      </c>
      <c r="D110" s="458">
        <f>Employee!D110</f>
        <v>0</v>
      </c>
      <c r="E110" s="196">
        <v>1</v>
      </c>
      <c r="F110" s="196">
        <v>0</v>
      </c>
      <c r="G110" s="196">
        <v>0</v>
      </c>
      <c r="H110" s="298">
        <f t="shared" si="3"/>
        <v>0</v>
      </c>
      <c r="I110" s="196"/>
      <c r="J110" s="196"/>
      <c r="K110" s="196"/>
      <c r="L110" s="196"/>
      <c r="M110" s="196"/>
      <c r="N110" s="196"/>
      <c r="O110" s="196"/>
      <c r="P110" s="196"/>
      <c r="Q110" s="209"/>
      <c r="R110" s="209"/>
      <c r="S110" s="209"/>
      <c r="T110" s="209"/>
      <c r="U110" s="209"/>
      <c r="V110" s="209"/>
    </row>
    <row r="111" spans="1:22" s="198" customFormat="1" ht="10.5">
      <c r="A111" s="457">
        <f>Employee!A111</f>
        <v>0</v>
      </c>
      <c r="B111" s="458">
        <f>Employee!B111</f>
        <v>0</v>
      </c>
      <c r="C111" s="458">
        <f>Employee!C111</f>
        <v>0</v>
      </c>
      <c r="D111" s="458">
        <f>Employee!D111</f>
        <v>0</v>
      </c>
      <c r="E111" s="196">
        <v>1</v>
      </c>
      <c r="F111" s="196">
        <v>0</v>
      </c>
      <c r="G111" s="196">
        <v>0</v>
      </c>
      <c r="H111" s="298">
        <f t="shared" si="3"/>
        <v>0</v>
      </c>
      <c r="I111" s="196"/>
      <c r="J111" s="196"/>
      <c r="K111" s="196"/>
      <c r="L111" s="196"/>
      <c r="M111" s="196"/>
      <c r="N111" s="196"/>
      <c r="O111" s="196"/>
      <c r="P111" s="196"/>
      <c r="Q111" s="209"/>
      <c r="R111" s="209"/>
      <c r="S111" s="209"/>
      <c r="T111" s="209"/>
      <c r="U111" s="209"/>
      <c r="V111" s="209"/>
    </row>
    <row r="112" spans="1:22" s="198" customFormat="1" ht="10.5">
      <c r="A112" s="457">
        <f>Employee!A112</f>
        <v>0</v>
      </c>
      <c r="B112" s="458">
        <f>Employee!B112</f>
        <v>0</v>
      </c>
      <c r="C112" s="458">
        <f>Employee!C112</f>
        <v>0</v>
      </c>
      <c r="D112" s="458">
        <f>Employee!D112</f>
        <v>0</v>
      </c>
      <c r="E112" s="196">
        <v>1</v>
      </c>
      <c r="F112" s="196">
        <v>0</v>
      </c>
      <c r="G112" s="196">
        <v>0</v>
      </c>
      <c r="H112" s="298">
        <f t="shared" si="3"/>
        <v>0</v>
      </c>
      <c r="I112" s="196"/>
      <c r="J112" s="196"/>
      <c r="K112" s="196"/>
      <c r="L112" s="196"/>
      <c r="M112" s="196"/>
      <c r="N112" s="196"/>
      <c r="O112" s="196"/>
      <c r="P112" s="196"/>
      <c r="Q112" s="209"/>
      <c r="R112" s="209"/>
      <c r="S112" s="209"/>
      <c r="T112" s="209"/>
      <c r="U112" s="209"/>
      <c r="V112" s="209"/>
    </row>
    <row r="113" spans="1:22" s="198" customFormat="1" ht="10.5">
      <c r="A113" s="457">
        <f>Employee!A113</f>
        <v>0</v>
      </c>
      <c r="B113" s="458">
        <f>Employee!B113</f>
        <v>0</v>
      </c>
      <c r="C113" s="458">
        <f>Employee!C113</f>
        <v>0</v>
      </c>
      <c r="D113" s="458">
        <f>Employee!D113</f>
        <v>0</v>
      </c>
      <c r="E113" s="196">
        <v>1</v>
      </c>
      <c r="F113" s="196">
        <v>0</v>
      </c>
      <c r="G113" s="196">
        <v>0</v>
      </c>
      <c r="H113" s="298">
        <f t="shared" si="3"/>
        <v>0</v>
      </c>
      <c r="I113" s="196"/>
      <c r="J113" s="196"/>
      <c r="K113" s="196"/>
      <c r="L113" s="196"/>
      <c r="M113" s="196"/>
      <c r="N113" s="196"/>
      <c r="O113" s="196"/>
      <c r="P113" s="196"/>
      <c r="Q113" s="209"/>
      <c r="R113" s="209"/>
      <c r="S113" s="209"/>
      <c r="T113" s="209"/>
      <c r="U113" s="209"/>
      <c r="V113" s="209"/>
    </row>
    <row r="114" spans="1:22" s="198" customFormat="1" ht="10.5">
      <c r="A114" s="457">
        <f>Employee!A114</f>
        <v>0</v>
      </c>
      <c r="B114" s="458">
        <f>Employee!B114</f>
        <v>0</v>
      </c>
      <c r="C114" s="458">
        <f>Employee!C114</f>
        <v>0</v>
      </c>
      <c r="D114" s="458">
        <f>Employee!D114</f>
        <v>0</v>
      </c>
      <c r="E114" s="196">
        <v>1</v>
      </c>
      <c r="F114" s="196">
        <v>0</v>
      </c>
      <c r="G114" s="196">
        <v>0</v>
      </c>
      <c r="H114" s="298">
        <f t="shared" si="3"/>
        <v>0</v>
      </c>
      <c r="I114" s="196"/>
      <c r="J114" s="196"/>
      <c r="K114" s="196"/>
      <c r="L114" s="196"/>
      <c r="M114" s="196"/>
      <c r="N114" s="196"/>
      <c r="O114" s="196"/>
      <c r="P114" s="196"/>
      <c r="Q114" s="209"/>
      <c r="R114" s="209"/>
      <c r="S114" s="209"/>
      <c r="T114" s="209"/>
      <c r="U114" s="209"/>
      <c r="V114" s="209"/>
    </row>
    <row r="115" spans="1:22" s="198" customFormat="1" ht="10.5">
      <c r="A115" s="457">
        <f>Employee!A115</f>
        <v>0</v>
      </c>
      <c r="B115" s="458">
        <f>Employee!B115</f>
        <v>0</v>
      </c>
      <c r="C115" s="458">
        <f>Employee!C115</f>
        <v>0</v>
      </c>
      <c r="D115" s="458">
        <f>Employee!D115</f>
        <v>0</v>
      </c>
      <c r="E115" s="196">
        <v>1</v>
      </c>
      <c r="F115" s="196">
        <v>0</v>
      </c>
      <c r="G115" s="196">
        <v>0</v>
      </c>
      <c r="H115" s="298">
        <f t="shared" si="3"/>
        <v>0</v>
      </c>
      <c r="I115" s="196"/>
      <c r="J115" s="196"/>
      <c r="K115" s="196"/>
      <c r="L115" s="196"/>
      <c r="M115" s="196"/>
      <c r="N115" s="196"/>
      <c r="O115" s="196"/>
      <c r="P115" s="196"/>
      <c r="Q115" s="209"/>
      <c r="R115" s="209"/>
      <c r="S115" s="209"/>
      <c r="T115" s="209"/>
      <c r="U115" s="209"/>
      <c r="V115" s="209"/>
    </row>
    <row r="116" spans="1:22" s="198" customFormat="1" ht="10.5">
      <c r="A116" s="457">
        <f>Employee!A116</f>
        <v>0</v>
      </c>
      <c r="B116" s="458">
        <f>Employee!B116</f>
        <v>0</v>
      </c>
      <c r="C116" s="458">
        <f>Employee!C116</f>
        <v>0</v>
      </c>
      <c r="D116" s="458">
        <f>Employee!D116</f>
        <v>0</v>
      </c>
      <c r="E116" s="196">
        <v>1</v>
      </c>
      <c r="F116" s="196">
        <v>0</v>
      </c>
      <c r="G116" s="196">
        <v>0</v>
      </c>
      <c r="H116" s="298">
        <f t="shared" si="3"/>
        <v>0</v>
      </c>
      <c r="I116" s="196"/>
      <c r="J116" s="196"/>
      <c r="K116" s="196"/>
      <c r="L116" s="196"/>
      <c r="M116" s="196"/>
      <c r="N116" s="196"/>
      <c r="O116" s="196"/>
      <c r="P116" s="196"/>
      <c r="Q116" s="209"/>
      <c r="R116" s="209"/>
      <c r="S116" s="209"/>
      <c r="T116" s="209"/>
      <c r="U116" s="209"/>
      <c r="V116" s="209"/>
    </row>
    <row r="117" spans="1:22" s="198" customFormat="1" ht="10.5">
      <c r="A117" s="457">
        <f>Employee!A117</f>
        <v>0</v>
      </c>
      <c r="B117" s="458">
        <f>Employee!B117</f>
        <v>0</v>
      </c>
      <c r="C117" s="458">
        <f>Employee!C117</f>
        <v>0</v>
      </c>
      <c r="D117" s="458">
        <f>Employee!D117</f>
        <v>0</v>
      </c>
      <c r="E117" s="196">
        <v>1</v>
      </c>
      <c r="F117" s="196">
        <v>0</v>
      </c>
      <c r="G117" s="196">
        <v>0</v>
      </c>
      <c r="H117" s="298">
        <f t="shared" si="3"/>
        <v>0</v>
      </c>
      <c r="I117" s="196"/>
      <c r="J117" s="196"/>
      <c r="K117" s="196"/>
      <c r="L117" s="196"/>
      <c r="M117" s="196"/>
      <c r="N117" s="196"/>
      <c r="O117" s="196"/>
      <c r="P117" s="196"/>
      <c r="Q117" s="209"/>
      <c r="R117" s="209"/>
      <c r="S117" s="209"/>
      <c r="T117" s="209"/>
      <c r="U117" s="209"/>
      <c r="V117" s="209"/>
    </row>
    <row r="118" spans="1:22" s="198" customFormat="1" ht="10.5">
      <c r="A118" s="457">
        <f>Employee!A118</f>
        <v>0</v>
      </c>
      <c r="B118" s="458">
        <f>Employee!B118</f>
        <v>0</v>
      </c>
      <c r="C118" s="458">
        <f>Employee!C118</f>
        <v>0</v>
      </c>
      <c r="D118" s="458">
        <f>Employee!D118</f>
        <v>0</v>
      </c>
      <c r="E118" s="196">
        <v>1</v>
      </c>
      <c r="F118" s="196">
        <v>0</v>
      </c>
      <c r="G118" s="196">
        <v>0</v>
      </c>
      <c r="H118" s="298">
        <f t="shared" si="3"/>
        <v>0</v>
      </c>
      <c r="I118" s="196"/>
      <c r="J118" s="196"/>
      <c r="K118" s="196"/>
      <c r="L118" s="196"/>
      <c r="M118" s="196"/>
      <c r="N118" s="196"/>
      <c r="O118" s="196"/>
      <c r="P118" s="196"/>
      <c r="Q118" s="209"/>
      <c r="R118" s="209"/>
      <c r="S118" s="209"/>
      <c r="T118" s="209"/>
      <c r="U118" s="209"/>
      <c r="V118" s="209"/>
    </row>
  </sheetData>
  <autoFilter ref="A1:V71"/>
  <phoneticPr fontId="27" type="noConversion"/>
  <printOptions horizontalCentered="1"/>
  <pageMargins left="0" right="0" top="0.39370078740157483" bottom="0.19685039370078741" header="0" footer="0"/>
  <pageSetup paperSize="9" scale="70" orientation="landscape" horizontalDpi="360" verticalDpi="360" r:id="rId1"/>
  <headerFooter alignWithMargins="0">
    <oddFooter>&amp;LPayroll detail&amp;RPage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21" enableFormatConditionsCalculation="0">
    <tabColor indexed="12"/>
    <pageSetUpPr fitToPage="1"/>
  </sheetPr>
  <dimension ref="A1:AL30"/>
  <sheetViews>
    <sheetView zoomScale="110" zoomScaleNormal="110" workbookViewId="0">
      <pane ySplit="5" topLeftCell="A6" activePane="bottomLeft" state="frozen"/>
      <selection pane="bottomLeft" activeCell="T32" sqref="T32"/>
    </sheetView>
  </sheetViews>
  <sheetFormatPr defaultRowHeight="21.75"/>
  <cols>
    <col min="1" max="1" width="5.140625" style="174" customWidth="1"/>
    <col min="2" max="2" width="9.5703125" style="175" customWidth="1"/>
    <col min="3" max="3" width="6.140625" style="175" customWidth="1"/>
    <col min="4" max="4" width="10.42578125" style="177" customWidth="1"/>
    <col min="5" max="5" width="15.7109375" style="177" bestFit="1" customWidth="1"/>
    <col min="6" max="6" width="11.5703125" style="176" customWidth="1"/>
    <col min="7" max="7" width="10.7109375" style="176" customWidth="1"/>
    <col min="8" max="8" width="11.28515625" style="176" customWidth="1"/>
    <col min="9" max="11" width="9.28515625" style="176" customWidth="1"/>
    <col min="12" max="12" width="10.7109375" style="176" customWidth="1"/>
    <col min="13" max="13" width="10.140625" style="176" customWidth="1"/>
    <col min="14" max="14" width="11.7109375" style="176" customWidth="1"/>
    <col min="15" max="15" width="14.28515625" style="176" bestFit="1" customWidth="1"/>
    <col min="16" max="16" width="10.5703125" style="176" bestFit="1" customWidth="1"/>
    <col min="17" max="17" width="12.140625" style="176" bestFit="1" customWidth="1"/>
    <col min="18" max="18" width="11.42578125" style="176" customWidth="1"/>
    <col min="19" max="19" width="10.7109375" style="176" customWidth="1"/>
    <col min="20" max="20" width="13.7109375" style="176" customWidth="1"/>
    <col min="21" max="21" width="10.140625" style="176" customWidth="1"/>
    <col min="22" max="28" width="5.7109375" style="176" customWidth="1"/>
    <col min="29" max="29" width="5.7109375" style="177" customWidth="1"/>
    <col min="30" max="30" width="5.7109375" customWidth="1"/>
    <col min="31" max="33" width="11.7109375" style="177" customWidth="1"/>
    <col min="34" max="34" width="9.28515625" style="177" customWidth="1"/>
    <col min="35" max="35" width="8.42578125" style="177" customWidth="1"/>
    <col min="36" max="36" width="11" style="177" customWidth="1"/>
    <col min="37" max="38" width="10.140625" style="177" customWidth="1"/>
    <col min="39" max="39" width="9.28515625" style="177" customWidth="1"/>
    <col min="40" max="16384" width="9.140625" style="177"/>
  </cols>
  <sheetData>
    <row r="1" spans="1:38" s="141" customFormat="1" ht="14.25">
      <c r="A1" s="139" t="str">
        <f>CompanyProfile!$C$2</f>
        <v>หจก.ศิวะกรเซฟตี้ จำกัด</v>
      </c>
      <c r="B1" s="140"/>
      <c r="C1" s="140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</row>
    <row r="2" spans="1:38" s="141" customFormat="1" ht="14.25">
      <c r="A2" s="143" t="str">
        <f>"รายละเอียดประกอบการจ่ายเงินเดือน  ประจำเดือน"&amp;TEXT(T2,"ดดดด bbbb")</f>
        <v>รายละเอียดประกอบการจ่ายเงินเดือน  ประจำเดือนมกราคม 2557</v>
      </c>
      <c r="B2" s="140"/>
      <c r="C2" s="140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4">
        <f>PDate</f>
        <v>41654</v>
      </c>
      <c r="U2" s="142"/>
      <c r="V2" s="142"/>
      <c r="W2" s="142"/>
      <c r="X2" s="142"/>
      <c r="Y2" s="142"/>
      <c r="Z2" s="142"/>
      <c r="AA2" s="142"/>
      <c r="AB2" s="142"/>
      <c r="AC2" s="146"/>
      <c r="AE2" s="307" t="s">
        <v>222</v>
      </c>
      <c r="AF2" s="307" t="s">
        <v>53</v>
      </c>
      <c r="AG2" s="307" t="s">
        <v>53</v>
      </c>
      <c r="AH2" s="146"/>
      <c r="AI2" s="146"/>
      <c r="AJ2" s="146"/>
      <c r="AK2" s="146"/>
      <c r="AL2" s="146"/>
    </row>
    <row r="3" spans="1:38" s="141" customFormat="1" ht="8.25" customHeight="1">
      <c r="A3" s="139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308"/>
      <c r="AF3" s="308"/>
      <c r="AG3" s="308"/>
    </row>
    <row r="4" spans="1:38" s="156" customFormat="1" ht="18" customHeight="1">
      <c r="A4" s="147" t="s">
        <v>123</v>
      </c>
      <c r="B4" s="148" t="s">
        <v>180</v>
      </c>
      <c r="C4" s="149" t="s">
        <v>185</v>
      </c>
      <c r="D4" s="150" t="s">
        <v>80</v>
      </c>
      <c r="E4" s="151" t="s">
        <v>184</v>
      </c>
      <c r="F4" s="152" t="s">
        <v>178</v>
      </c>
      <c r="G4" s="153"/>
      <c r="H4" s="153"/>
      <c r="I4" s="153"/>
      <c r="J4" s="153"/>
      <c r="K4" s="153"/>
      <c r="L4" s="153"/>
      <c r="M4" s="153"/>
      <c r="N4" s="153"/>
      <c r="O4" s="153" t="s">
        <v>179</v>
      </c>
      <c r="P4" s="153"/>
      <c r="Q4" s="153"/>
      <c r="R4" s="153"/>
      <c r="S4" s="153"/>
      <c r="T4" s="154" t="s">
        <v>56</v>
      </c>
      <c r="U4" s="155"/>
      <c r="V4" s="155"/>
      <c r="W4" s="155"/>
      <c r="X4" s="155"/>
      <c r="Y4" s="155"/>
      <c r="Z4" s="155"/>
      <c r="AA4" s="155"/>
      <c r="AB4" s="155"/>
      <c r="AC4" s="157"/>
      <c r="AE4" s="309" t="s">
        <v>223</v>
      </c>
      <c r="AF4" s="309" t="s">
        <v>311</v>
      </c>
      <c r="AG4" s="309" t="s">
        <v>311</v>
      </c>
      <c r="AH4" s="157"/>
      <c r="AI4" s="157"/>
      <c r="AJ4" s="157"/>
      <c r="AK4" s="157"/>
      <c r="AL4" s="157"/>
    </row>
    <row r="5" spans="1:38" s="214" customFormat="1" ht="11.25">
      <c r="A5" s="158" t="s">
        <v>129</v>
      </c>
      <c r="B5" s="159"/>
      <c r="C5" s="160" t="s">
        <v>186</v>
      </c>
      <c r="D5" s="161"/>
      <c r="E5" s="162"/>
      <c r="F5" s="163" t="s">
        <v>321</v>
      </c>
      <c r="G5" s="138" t="s">
        <v>51</v>
      </c>
      <c r="H5" s="138" t="s">
        <v>425</v>
      </c>
      <c r="I5" s="138" t="s">
        <v>426</v>
      </c>
      <c r="J5" s="138" t="s">
        <v>519</v>
      </c>
      <c r="K5" s="138" t="s">
        <v>455</v>
      </c>
      <c r="L5" s="138" t="s">
        <v>369</v>
      </c>
      <c r="M5" s="138" t="s">
        <v>55</v>
      </c>
      <c r="N5" s="320" t="s">
        <v>60</v>
      </c>
      <c r="O5" s="320" t="s">
        <v>181</v>
      </c>
      <c r="P5" s="320" t="s">
        <v>58</v>
      </c>
      <c r="Q5" s="320" t="s">
        <v>183</v>
      </c>
      <c r="R5" s="138" t="s">
        <v>55</v>
      </c>
      <c r="S5" s="320" t="s">
        <v>322</v>
      </c>
      <c r="T5" s="321"/>
      <c r="U5" s="213"/>
      <c r="V5" s="213"/>
      <c r="W5" s="213"/>
      <c r="X5" s="213"/>
      <c r="Y5" s="213"/>
      <c r="Z5" s="213"/>
      <c r="AA5" s="213"/>
      <c r="AB5" s="213"/>
      <c r="AE5" s="310" t="s">
        <v>58</v>
      </c>
      <c r="AF5" s="310" t="s">
        <v>222</v>
      </c>
      <c r="AG5" s="310" t="s">
        <v>312</v>
      </c>
    </row>
    <row r="6" spans="1:38" s="133" customFormat="1" ht="11.25" customHeight="1">
      <c r="A6" s="123">
        <v>1</v>
      </c>
      <c r="B6" s="202" t="s">
        <v>556</v>
      </c>
      <c r="C6" s="200" t="s">
        <v>427</v>
      </c>
      <c r="D6" s="200" t="s">
        <v>549</v>
      </c>
      <c r="E6" s="200" t="s">
        <v>550</v>
      </c>
      <c r="F6" s="128">
        <v>15000</v>
      </c>
      <c r="G6" s="129">
        <v>0</v>
      </c>
      <c r="H6" s="130">
        <v>0</v>
      </c>
      <c r="I6" s="130">
        <v>10000</v>
      </c>
      <c r="J6" s="129">
        <v>0</v>
      </c>
      <c r="K6" s="129">
        <v>3500</v>
      </c>
      <c r="L6" s="129">
        <v>0</v>
      </c>
      <c r="M6" s="130">
        <v>2000</v>
      </c>
      <c r="N6" s="207">
        <f>SUM(F6:M6)</f>
        <v>30500</v>
      </c>
      <c r="O6" s="207">
        <v>0</v>
      </c>
      <c r="P6" s="207">
        <f t="shared" ref="P6:P24" si="0">TRUNC(IF(AE6=0,0,IF(AE6&lt;=1650,1650,IF(AE6&gt;=15000,15000,AE6)))*SFRate+0.5)</f>
        <v>750</v>
      </c>
      <c r="Q6" s="207">
        <v>350</v>
      </c>
      <c r="R6" s="130"/>
      <c r="S6" s="207">
        <f>SUM(O6:R6)</f>
        <v>1100</v>
      </c>
      <c r="T6" s="207">
        <f>N6-S6</f>
        <v>29400</v>
      </c>
      <c r="U6" s="132"/>
      <c r="V6" s="132"/>
      <c r="W6" s="132"/>
      <c r="X6" s="132"/>
      <c r="Y6" s="132"/>
      <c r="Z6" s="132"/>
      <c r="AA6" s="132"/>
      <c r="AB6" s="132"/>
      <c r="AC6" s="132"/>
      <c r="AE6" s="207">
        <f>F6+H6+I6+K6</f>
        <v>28500</v>
      </c>
      <c r="AF6" s="132">
        <v>22205</v>
      </c>
      <c r="AG6" s="132">
        <v>2134</v>
      </c>
    </row>
    <row r="7" spans="1:38" s="133" customFormat="1" ht="11.25" customHeight="1">
      <c r="A7" s="123"/>
      <c r="B7" s="202"/>
      <c r="C7" s="200"/>
      <c r="D7" s="200"/>
      <c r="E7" s="200"/>
      <c r="F7" s="128"/>
      <c r="G7" s="129"/>
      <c r="H7" s="130"/>
      <c r="I7" s="130"/>
      <c r="J7" s="130"/>
      <c r="K7" s="130"/>
      <c r="L7" s="130"/>
      <c r="M7" s="130"/>
      <c r="N7" s="207">
        <f>SUM(F7:M7)</f>
        <v>0</v>
      </c>
      <c r="O7" s="207">
        <v>0</v>
      </c>
      <c r="P7" s="207">
        <f t="shared" si="0"/>
        <v>0</v>
      </c>
      <c r="Q7" s="207"/>
      <c r="R7" s="130"/>
      <c r="S7" s="207">
        <f>SUM(O7:R7)</f>
        <v>0</v>
      </c>
      <c r="T7" s="207">
        <f>N7-S7</f>
        <v>0</v>
      </c>
      <c r="U7" s="132"/>
      <c r="V7" s="132"/>
      <c r="W7" s="132"/>
      <c r="X7" s="132"/>
      <c r="Y7" s="132"/>
      <c r="Z7" s="132"/>
      <c r="AA7" s="132"/>
      <c r="AB7" s="132"/>
      <c r="AC7" s="132"/>
      <c r="AE7" s="207">
        <f t="shared" ref="AE7:AE28" si="1">F7+H7+I7+K7</f>
        <v>0</v>
      </c>
      <c r="AF7" s="132">
        <v>9272</v>
      </c>
      <c r="AG7" s="132">
        <v>1800</v>
      </c>
    </row>
    <row r="8" spans="1:38" s="133" customFormat="1" ht="11.25" customHeight="1">
      <c r="A8" s="123"/>
      <c r="B8" s="202"/>
      <c r="C8" s="200"/>
      <c r="D8" s="200"/>
      <c r="E8" s="200"/>
      <c r="F8" s="128"/>
      <c r="G8" s="129"/>
      <c r="H8" s="130"/>
      <c r="I8" s="130"/>
      <c r="J8" s="129"/>
      <c r="K8" s="129"/>
      <c r="L8" s="129"/>
      <c r="M8" s="130"/>
      <c r="N8" s="207">
        <f>SUM(F8:M8)</f>
        <v>0</v>
      </c>
      <c r="O8" s="207">
        <f>SUM(AF8:AG8)</f>
        <v>0</v>
      </c>
      <c r="P8" s="207">
        <f t="shared" si="0"/>
        <v>0</v>
      </c>
      <c r="Q8" s="207"/>
      <c r="R8" s="130"/>
      <c r="S8" s="207">
        <f>SUM(O8:R8)</f>
        <v>0</v>
      </c>
      <c r="T8" s="207">
        <f>N8-S8</f>
        <v>0</v>
      </c>
      <c r="U8" s="132"/>
      <c r="V8" s="132"/>
      <c r="W8" s="132"/>
      <c r="X8" s="132"/>
      <c r="Y8" s="132"/>
      <c r="Z8" s="132"/>
      <c r="AA8" s="132"/>
      <c r="AB8" s="132"/>
      <c r="AC8" s="132"/>
      <c r="AE8" s="207">
        <f t="shared" si="1"/>
        <v>0</v>
      </c>
      <c r="AF8" s="132"/>
      <c r="AG8" s="132"/>
    </row>
    <row r="9" spans="1:38" s="133" customFormat="1" ht="11.25" customHeight="1">
      <c r="A9" s="123"/>
      <c r="B9" s="202"/>
      <c r="C9" s="200"/>
      <c r="D9" s="200"/>
      <c r="E9" s="200"/>
      <c r="F9" s="128"/>
      <c r="G9" s="129"/>
      <c r="H9" s="130"/>
      <c r="I9" s="130"/>
      <c r="J9" s="129"/>
      <c r="K9" s="129"/>
      <c r="L9" s="129"/>
      <c r="M9" s="130"/>
      <c r="N9" s="207">
        <f t="shared" ref="N9:N24" si="2">SUM(F9:M9)</f>
        <v>0</v>
      </c>
      <c r="O9" s="207">
        <v>0</v>
      </c>
      <c r="P9" s="207">
        <f t="shared" si="0"/>
        <v>0</v>
      </c>
      <c r="Q9" s="207"/>
      <c r="R9" s="130"/>
      <c r="S9" s="207">
        <f t="shared" ref="S9:S24" si="3">SUM(O9:R9)</f>
        <v>0</v>
      </c>
      <c r="T9" s="207">
        <f t="shared" ref="T9:T24" si="4">N9-S9</f>
        <v>0</v>
      </c>
      <c r="U9" s="132"/>
      <c r="V9" s="132"/>
      <c r="W9" s="132"/>
      <c r="X9" s="132"/>
      <c r="Y9" s="132"/>
      <c r="Z9" s="132"/>
      <c r="AA9" s="132"/>
      <c r="AB9" s="132"/>
      <c r="AC9" s="132"/>
      <c r="AE9" s="207">
        <f t="shared" si="1"/>
        <v>0</v>
      </c>
      <c r="AF9" s="132">
        <v>1080</v>
      </c>
      <c r="AG9" s="132">
        <v>0</v>
      </c>
    </row>
    <row r="10" spans="1:38" s="133" customFormat="1" ht="11.25" customHeight="1">
      <c r="A10" s="123"/>
      <c r="B10" s="202"/>
      <c r="C10" s="200"/>
      <c r="D10" s="200"/>
      <c r="E10" s="200"/>
      <c r="F10" s="128"/>
      <c r="G10" s="129"/>
      <c r="H10" s="130"/>
      <c r="I10" s="130"/>
      <c r="J10" s="129"/>
      <c r="K10" s="129"/>
      <c r="L10" s="129"/>
      <c r="M10" s="130"/>
      <c r="N10" s="207">
        <f t="shared" si="2"/>
        <v>0</v>
      </c>
      <c r="O10" s="207">
        <f t="shared" ref="O10:O22" si="5">SUM(AF10:AG10)</f>
        <v>0</v>
      </c>
      <c r="P10" s="207">
        <f t="shared" si="0"/>
        <v>0</v>
      </c>
      <c r="Q10" s="207"/>
      <c r="R10" s="130"/>
      <c r="S10" s="207">
        <f t="shared" si="3"/>
        <v>0</v>
      </c>
      <c r="T10" s="207">
        <f t="shared" si="4"/>
        <v>0</v>
      </c>
      <c r="U10" s="132"/>
      <c r="V10" s="132"/>
      <c r="W10" s="132"/>
      <c r="X10" s="132"/>
      <c r="Y10" s="132"/>
      <c r="Z10" s="132"/>
      <c r="AA10" s="132"/>
      <c r="AB10" s="132"/>
      <c r="AC10" s="132"/>
      <c r="AE10" s="207">
        <f t="shared" si="1"/>
        <v>0</v>
      </c>
      <c r="AF10" s="132"/>
      <c r="AG10" s="132"/>
    </row>
    <row r="11" spans="1:38" s="133" customFormat="1" ht="11.25" customHeight="1">
      <c r="A11" s="123"/>
      <c r="B11" s="202"/>
      <c r="C11" s="200"/>
      <c r="D11" s="200"/>
      <c r="E11" s="200"/>
      <c r="F11" s="128"/>
      <c r="G11" s="129"/>
      <c r="H11" s="130"/>
      <c r="I11" s="130"/>
      <c r="J11" s="129"/>
      <c r="K11" s="129"/>
      <c r="L11" s="129"/>
      <c r="M11" s="130"/>
      <c r="N11" s="207">
        <f t="shared" si="2"/>
        <v>0</v>
      </c>
      <c r="O11" s="207">
        <f t="shared" si="5"/>
        <v>0</v>
      </c>
      <c r="P11" s="207">
        <f t="shared" si="0"/>
        <v>0</v>
      </c>
      <c r="Q11" s="207"/>
      <c r="R11" s="130"/>
      <c r="S11" s="207">
        <f t="shared" si="3"/>
        <v>0</v>
      </c>
      <c r="T11" s="207">
        <f t="shared" si="4"/>
        <v>0</v>
      </c>
      <c r="U11" s="132"/>
      <c r="V11" s="132"/>
      <c r="W11" s="132"/>
      <c r="X11" s="132"/>
      <c r="Y11" s="132"/>
      <c r="Z11" s="132"/>
      <c r="AA11" s="132"/>
      <c r="AB11" s="132"/>
      <c r="AC11" s="132"/>
      <c r="AE11" s="207">
        <f t="shared" si="1"/>
        <v>0</v>
      </c>
      <c r="AF11" s="132"/>
      <c r="AG11" s="132"/>
    </row>
    <row r="12" spans="1:38" s="133" customFormat="1" ht="11.25" customHeight="1">
      <c r="A12" s="123"/>
      <c r="B12" s="202"/>
      <c r="C12" s="200"/>
      <c r="D12" s="200"/>
      <c r="E12" s="200"/>
      <c r="F12" s="128"/>
      <c r="G12" s="129"/>
      <c r="H12" s="130"/>
      <c r="I12" s="130"/>
      <c r="J12" s="129"/>
      <c r="K12" s="129"/>
      <c r="L12" s="129"/>
      <c r="M12" s="130"/>
      <c r="N12" s="207">
        <f t="shared" si="2"/>
        <v>0</v>
      </c>
      <c r="O12" s="207">
        <f t="shared" si="5"/>
        <v>0</v>
      </c>
      <c r="P12" s="207">
        <f t="shared" si="0"/>
        <v>0</v>
      </c>
      <c r="Q12" s="207"/>
      <c r="R12" s="130"/>
      <c r="S12" s="207">
        <f t="shared" si="3"/>
        <v>0</v>
      </c>
      <c r="T12" s="207">
        <f t="shared" si="4"/>
        <v>0</v>
      </c>
      <c r="U12" s="132"/>
      <c r="V12" s="132"/>
      <c r="W12" s="132"/>
      <c r="X12" s="132"/>
      <c r="Y12" s="132"/>
      <c r="Z12" s="132"/>
      <c r="AA12" s="132"/>
      <c r="AB12" s="132"/>
      <c r="AC12" s="132"/>
      <c r="AE12" s="207">
        <f t="shared" si="1"/>
        <v>0</v>
      </c>
      <c r="AF12" s="132"/>
      <c r="AG12" s="132"/>
    </row>
    <row r="13" spans="1:38" s="133" customFormat="1" ht="11.25" customHeight="1">
      <c r="A13" s="123"/>
      <c r="B13" s="202"/>
      <c r="C13" s="200"/>
      <c r="D13" s="200"/>
      <c r="E13" s="200"/>
      <c r="F13" s="128"/>
      <c r="G13" s="129"/>
      <c r="H13" s="130"/>
      <c r="I13" s="130"/>
      <c r="J13" s="129"/>
      <c r="K13" s="129"/>
      <c r="L13" s="129"/>
      <c r="M13" s="130"/>
      <c r="N13" s="207">
        <f t="shared" si="2"/>
        <v>0</v>
      </c>
      <c r="O13" s="207">
        <f t="shared" si="5"/>
        <v>0</v>
      </c>
      <c r="P13" s="207">
        <f t="shared" si="0"/>
        <v>0</v>
      </c>
      <c r="Q13" s="207"/>
      <c r="R13" s="130"/>
      <c r="S13" s="207">
        <f t="shared" si="3"/>
        <v>0</v>
      </c>
      <c r="T13" s="207">
        <f t="shared" si="4"/>
        <v>0</v>
      </c>
      <c r="U13" s="132"/>
      <c r="V13" s="132"/>
      <c r="W13" s="132"/>
      <c r="X13" s="132"/>
      <c r="Y13" s="132"/>
      <c r="Z13" s="132"/>
      <c r="AA13" s="132"/>
      <c r="AB13" s="132"/>
      <c r="AC13" s="132"/>
      <c r="AE13" s="207">
        <f t="shared" si="1"/>
        <v>0</v>
      </c>
      <c r="AF13" s="132"/>
      <c r="AG13" s="132"/>
    </row>
    <row r="14" spans="1:38" s="133" customFormat="1" ht="11.25" customHeight="1">
      <c r="A14" s="123"/>
      <c r="B14" s="202"/>
      <c r="C14" s="200"/>
      <c r="D14" s="200"/>
      <c r="E14" s="200"/>
      <c r="F14" s="128"/>
      <c r="G14" s="129"/>
      <c r="H14" s="130"/>
      <c r="I14" s="130"/>
      <c r="J14" s="129"/>
      <c r="K14" s="129"/>
      <c r="L14" s="129"/>
      <c r="M14" s="130"/>
      <c r="N14" s="207">
        <f t="shared" si="2"/>
        <v>0</v>
      </c>
      <c r="O14" s="207">
        <f t="shared" si="5"/>
        <v>0</v>
      </c>
      <c r="P14" s="207">
        <f t="shared" si="0"/>
        <v>0</v>
      </c>
      <c r="Q14" s="207"/>
      <c r="R14" s="130"/>
      <c r="S14" s="207">
        <f t="shared" si="3"/>
        <v>0</v>
      </c>
      <c r="T14" s="207">
        <f t="shared" si="4"/>
        <v>0</v>
      </c>
      <c r="U14" s="132"/>
      <c r="V14" s="132"/>
      <c r="W14" s="132"/>
      <c r="X14" s="132"/>
      <c r="Y14" s="132"/>
      <c r="Z14" s="132"/>
      <c r="AA14" s="132"/>
      <c r="AB14" s="132"/>
      <c r="AC14" s="132"/>
      <c r="AE14" s="207">
        <f t="shared" si="1"/>
        <v>0</v>
      </c>
      <c r="AF14" s="132"/>
      <c r="AG14" s="132"/>
    </row>
    <row r="15" spans="1:38" s="133" customFormat="1" ht="11.25" customHeight="1">
      <c r="A15" s="123"/>
      <c r="B15" s="202"/>
      <c r="C15" s="200"/>
      <c r="D15" s="200"/>
      <c r="E15" s="200"/>
      <c r="F15" s="128"/>
      <c r="G15" s="128"/>
      <c r="H15" s="130"/>
      <c r="I15" s="130"/>
      <c r="J15" s="129"/>
      <c r="K15" s="129"/>
      <c r="L15" s="129"/>
      <c r="M15" s="130"/>
      <c r="N15" s="207">
        <f t="shared" si="2"/>
        <v>0</v>
      </c>
      <c r="O15" s="207">
        <v>0</v>
      </c>
      <c r="P15" s="207">
        <f t="shared" si="0"/>
        <v>0</v>
      </c>
      <c r="Q15" s="207"/>
      <c r="R15" s="130"/>
      <c r="S15" s="207">
        <f t="shared" si="3"/>
        <v>0</v>
      </c>
      <c r="T15" s="207">
        <f t="shared" si="4"/>
        <v>0</v>
      </c>
      <c r="U15" s="132"/>
      <c r="V15" s="132"/>
      <c r="W15" s="132"/>
      <c r="X15" s="132"/>
      <c r="Y15" s="132"/>
      <c r="Z15" s="132"/>
      <c r="AA15" s="132"/>
      <c r="AB15" s="132"/>
      <c r="AC15" s="132"/>
      <c r="AE15" s="207">
        <f t="shared" si="1"/>
        <v>0</v>
      </c>
      <c r="AF15" s="132">
        <v>1710</v>
      </c>
      <c r="AG15" s="132">
        <v>335</v>
      </c>
    </row>
    <row r="16" spans="1:38" s="133" customFormat="1" ht="11.25" customHeight="1">
      <c r="A16" s="123"/>
      <c r="B16" s="202"/>
      <c r="C16" s="200"/>
      <c r="D16" s="200"/>
      <c r="E16" s="200"/>
      <c r="F16" s="128"/>
      <c r="G16" s="129"/>
      <c r="H16" s="130"/>
      <c r="I16" s="130"/>
      <c r="J16" s="129"/>
      <c r="K16" s="129"/>
      <c r="L16" s="129"/>
      <c r="M16" s="130"/>
      <c r="N16" s="207">
        <f t="shared" si="2"/>
        <v>0</v>
      </c>
      <c r="O16" s="207">
        <f t="shared" si="5"/>
        <v>0</v>
      </c>
      <c r="P16" s="207">
        <f t="shared" si="0"/>
        <v>0</v>
      </c>
      <c r="Q16" s="207"/>
      <c r="R16" s="130"/>
      <c r="S16" s="207">
        <f t="shared" si="3"/>
        <v>0</v>
      </c>
      <c r="T16" s="207">
        <f t="shared" si="4"/>
        <v>0</v>
      </c>
      <c r="U16" s="132"/>
      <c r="V16" s="132"/>
      <c r="W16" s="132"/>
      <c r="X16" s="132"/>
      <c r="Y16" s="132"/>
      <c r="Z16" s="132"/>
      <c r="AA16" s="132"/>
      <c r="AB16" s="132"/>
      <c r="AC16" s="132"/>
      <c r="AE16" s="207">
        <f t="shared" si="1"/>
        <v>0</v>
      </c>
      <c r="AF16" s="132"/>
      <c r="AG16" s="132"/>
    </row>
    <row r="17" spans="1:33" s="133" customFormat="1" ht="11.25" customHeight="1">
      <c r="A17" s="123"/>
      <c r="B17" s="202"/>
      <c r="C17" s="200"/>
      <c r="D17" s="200"/>
      <c r="E17" s="200"/>
      <c r="F17" s="128"/>
      <c r="G17" s="129"/>
      <c r="H17" s="130"/>
      <c r="I17" s="130"/>
      <c r="J17" s="130"/>
      <c r="K17" s="130"/>
      <c r="L17" s="129"/>
      <c r="M17" s="130"/>
      <c r="N17" s="207">
        <f t="shared" si="2"/>
        <v>0</v>
      </c>
      <c r="O17" s="207">
        <v>0</v>
      </c>
      <c r="P17" s="207">
        <f t="shared" si="0"/>
        <v>0</v>
      </c>
      <c r="Q17" s="207"/>
      <c r="R17" s="130"/>
      <c r="S17" s="207">
        <f t="shared" si="3"/>
        <v>0</v>
      </c>
      <c r="T17" s="207">
        <f t="shared" si="4"/>
        <v>0</v>
      </c>
      <c r="U17" s="132"/>
      <c r="V17" s="132"/>
      <c r="W17" s="132"/>
      <c r="X17" s="132"/>
      <c r="Y17" s="132"/>
      <c r="Z17" s="132"/>
      <c r="AA17" s="132"/>
      <c r="AB17" s="132"/>
      <c r="AC17" s="132"/>
      <c r="AE17" s="207">
        <f t="shared" si="1"/>
        <v>0</v>
      </c>
      <c r="AF17" s="132">
        <v>355</v>
      </c>
      <c r="AG17" s="132">
        <v>-75</v>
      </c>
    </row>
    <row r="18" spans="1:33" s="133" customFormat="1" ht="11.25" customHeight="1">
      <c r="A18" s="123"/>
      <c r="B18" s="202"/>
      <c r="C18" s="200"/>
      <c r="D18" s="200"/>
      <c r="E18" s="200"/>
      <c r="F18" s="128"/>
      <c r="G18" s="129"/>
      <c r="H18" s="130"/>
      <c r="I18" s="130"/>
      <c r="J18" s="130"/>
      <c r="K18" s="130"/>
      <c r="L18" s="129"/>
      <c r="M18" s="130"/>
      <c r="N18" s="207">
        <f t="shared" si="2"/>
        <v>0</v>
      </c>
      <c r="O18" s="207">
        <f t="shared" si="5"/>
        <v>0</v>
      </c>
      <c r="P18" s="207">
        <f t="shared" si="0"/>
        <v>0</v>
      </c>
      <c r="Q18" s="207"/>
      <c r="R18" s="130"/>
      <c r="S18" s="207">
        <f t="shared" si="3"/>
        <v>0</v>
      </c>
      <c r="T18" s="207">
        <f t="shared" si="4"/>
        <v>0</v>
      </c>
      <c r="U18" s="132"/>
      <c r="V18" s="132"/>
      <c r="W18" s="132"/>
      <c r="X18" s="132"/>
      <c r="Y18" s="132"/>
      <c r="Z18" s="132"/>
      <c r="AA18" s="132"/>
      <c r="AB18" s="132"/>
      <c r="AC18" s="132"/>
      <c r="AE18" s="207">
        <f t="shared" si="1"/>
        <v>0</v>
      </c>
      <c r="AF18" s="132"/>
      <c r="AG18" s="132"/>
    </row>
    <row r="19" spans="1:33" s="133" customFormat="1" ht="11.25" customHeight="1">
      <c r="A19" s="123"/>
      <c r="B19" s="202"/>
      <c r="C19" s="200"/>
      <c r="D19" s="200"/>
      <c r="E19" s="200"/>
      <c r="F19" s="128"/>
      <c r="G19" s="128"/>
      <c r="H19" s="130"/>
      <c r="I19" s="130"/>
      <c r="J19" s="129"/>
      <c r="K19" s="129"/>
      <c r="L19" s="129"/>
      <c r="M19" s="130"/>
      <c r="N19" s="207">
        <f t="shared" si="2"/>
        <v>0</v>
      </c>
      <c r="O19" s="207">
        <f t="shared" si="5"/>
        <v>0</v>
      </c>
      <c r="P19" s="207">
        <f t="shared" si="0"/>
        <v>0</v>
      </c>
      <c r="Q19" s="207"/>
      <c r="R19" s="130"/>
      <c r="S19" s="207">
        <f t="shared" si="3"/>
        <v>0</v>
      </c>
      <c r="T19" s="207">
        <f t="shared" si="4"/>
        <v>0</v>
      </c>
      <c r="U19" s="132"/>
      <c r="V19" s="132"/>
      <c r="W19" s="132"/>
      <c r="X19" s="132"/>
      <c r="Y19" s="132"/>
      <c r="Z19" s="132"/>
      <c r="AA19" s="132"/>
      <c r="AB19" s="132"/>
      <c r="AC19" s="132"/>
      <c r="AE19" s="207">
        <f t="shared" si="1"/>
        <v>0</v>
      </c>
      <c r="AF19" s="132"/>
      <c r="AG19" s="132"/>
    </row>
    <row r="20" spans="1:33" s="133" customFormat="1" ht="11.25" customHeight="1">
      <c r="A20" s="123"/>
      <c r="B20" s="202"/>
      <c r="C20" s="200"/>
      <c r="D20" s="200"/>
      <c r="E20" s="200"/>
      <c r="F20" s="128"/>
      <c r="G20" s="128"/>
      <c r="H20" s="130"/>
      <c r="I20" s="130"/>
      <c r="J20" s="129"/>
      <c r="K20" s="129"/>
      <c r="L20" s="129"/>
      <c r="M20" s="130"/>
      <c r="N20" s="207">
        <f t="shared" si="2"/>
        <v>0</v>
      </c>
      <c r="O20" s="207">
        <v>0</v>
      </c>
      <c r="P20" s="207">
        <f t="shared" si="0"/>
        <v>0</v>
      </c>
      <c r="Q20" s="207"/>
      <c r="R20" s="130"/>
      <c r="S20" s="207">
        <f t="shared" si="3"/>
        <v>0</v>
      </c>
      <c r="T20" s="207">
        <f t="shared" si="4"/>
        <v>0</v>
      </c>
      <c r="U20" s="132"/>
      <c r="V20" s="132"/>
      <c r="W20" s="132"/>
      <c r="X20" s="132"/>
      <c r="Y20" s="132"/>
      <c r="Z20" s="132"/>
      <c r="AA20" s="132"/>
      <c r="AB20" s="132"/>
      <c r="AC20" s="132"/>
      <c r="AE20" s="207">
        <f t="shared" si="1"/>
        <v>0</v>
      </c>
      <c r="AF20" s="132">
        <v>1190</v>
      </c>
      <c r="AG20" s="132">
        <v>85</v>
      </c>
    </row>
    <row r="21" spans="1:33" s="133" customFormat="1" ht="11.25" customHeight="1">
      <c r="A21" s="123"/>
      <c r="B21" s="202"/>
      <c r="C21" s="200"/>
      <c r="D21" s="200"/>
      <c r="E21" s="200"/>
      <c r="F21" s="128"/>
      <c r="G21" s="128"/>
      <c r="H21" s="130"/>
      <c r="I21" s="130"/>
      <c r="J21" s="129"/>
      <c r="K21" s="129"/>
      <c r="L21" s="129"/>
      <c r="M21" s="130"/>
      <c r="N21" s="207">
        <f t="shared" si="2"/>
        <v>0</v>
      </c>
      <c r="O21" s="207">
        <v>0</v>
      </c>
      <c r="P21" s="207">
        <f t="shared" si="0"/>
        <v>0</v>
      </c>
      <c r="Q21" s="207"/>
      <c r="R21" s="130"/>
      <c r="S21" s="207">
        <f t="shared" si="3"/>
        <v>0</v>
      </c>
      <c r="T21" s="207">
        <f t="shared" si="4"/>
        <v>0</v>
      </c>
      <c r="U21" s="132"/>
      <c r="V21" s="132"/>
      <c r="W21" s="132"/>
      <c r="X21" s="132"/>
      <c r="Y21" s="132"/>
      <c r="Z21" s="132"/>
      <c r="AA21" s="132"/>
      <c r="AB21" s="132"/>
      <c r="AC21" s="132"/>
      <c r="AE21" s="207">
        <f t="shared" si="1"/>
        <v>0</v>
      </c>
      <c r="AF21" s="132">
        <v>766</v>
      </c>
      <c r="AG21" s="132">
        <v>458</v>
      </c>
    </row>
    <row r="22" spans="1:33" s="133" customFormat="1" ht="11.25" customHeight="1">
      <c r="A22" s="123"/>
      <c r="B22" s="202"/>
      <c r="C22" s="200"/>
      <c r="D22" s="200"/>
      <c r="E22" s="200"/>
      <c r="F22" s="128"/>
      <c r="G22" s="128"/>
      <c r="H22" s="130"/>
      <c r="I22" s="130"/>
      <c r="J22" s="129"/>
      <c r="K22" s="129"/>
      <c r="L22" s="129"/>
      <c r="M22" s="130"/>
      <c r="N22" s="207">
        <f t="shared" si="2"/>
        <v>0</v>
      </c>
      <c r="O22" s="207">
        <f t="shared" si="5"/>
        <v>0</v>
      </c>
      <c r="P22" s="207">
        <f t="shared" si="0"/>
        <v>0</v>
      </c>
      <c r="Q22" s="207"/>
      <c r="R22" s="130"/>
      <c r="S22" s="207">
        <f t="shared" si="3"/>
        <v>0</v>
      </c>
      <c r="T22" s="207">
        <f t="shared" si="4"/>
        <v>0</v>
      </c>
      <c r="U22" s="132"/>
      <c r="V22" s="132"/>
      <c r="W22" s="132"/>
      <c r="X22" s="132"/>
      <c r="Y22" s="132"/>
      <c r="Z22" s="132"/>
      <c r="AA22" s="132"/>
      <c r="AB22" s="132"/>
      <c r="AC22" s="132"/>
      <c r="AE22" s="207">
        <f t="shared" si="1"/>
        <v>0</v>
      </c>
      <c r="AF22" s="132"/>
      <c r="AG22" s="132"/>
    </row>
    <row r="23" spans="1:33" s="133" customFormat="1" ht="11.25" customHeight="1">
      <c r="A23" s="123"/>
      <c r="B23" s="202"/>
      <c r="C23" s="200"/>
      <c r="D23" s="200"/>
      <c r="E23" s="200"/>
      <c r="F23" s="128"/>
      <c r="G23" s="129"/>
      <c r="H23" s="130"/>
      <c r="I23" s="130"/>
      <c r="J23" s="129"/>
      <c r="K23" s="129"/>
      <c r="L23" s="129"/>
      <c r="M23" s="130"/>
      <c r="N23" s="207">
        <f t="shared" si="2"/>
        <v>0</v>
      </c>
      <c r="O23" s="207">
        <v>0</v>
      </c>
      <c r="P23" s="207">
        <f t="shared" si="0"/>
        <v>0</v>
      </c>
      <c r="Q23" s="207"/>
      <c r="R23" s="130"/>
      <c r="S23" s="207">
        <f t="shared" si="3"/>
        <v>0</v>
      </c>
      <c r="T23" s="207">
        <f t="shared" si="4"/>
        <v>0</v>
      </c>
      <c r="U23" s="132"/>
      <c r="V23" s="132"/>
      <c r="W23" s="132"/>
      <c r="X23" s="132"/>
      <c r="Y23" s="132"/>
      <c r="Z23" s="132"/>
      <c r="AA23" s="132"/>
      <c r="AB23" s="132"/>
      <c r="AC23" s="132"/>
      <c r="AE23" s="207">
        <f t="shared" si="1"/>
        <v>0</v>
      </c>
      <c r="AF23" s="132">
        <v>37</v>
      </c>
      <c r="AG23" s="132">
        <v>0</v>
      </c>
    </row>
    <row r="24" spans="1:33" s="133" customFormat="1" ht="11.25" customHeight="1">
      <c r="A24" s="123"/>
      <c r="B24" s="202"/>
      <c r="C24" s="200"/>
      <c r="D24" s="200"/>
      <c r="E24" s="200"/>
      <c r="F24" s="128"/>
      <c r="G24" s="129"/>
      <c r="H24" s="130"/>
      <c r="I24" s="130"/>
      <c r="J24" s="130"/>
      <c r="K24" s="130"/>
      <c r="L24" s="130"/>
      <c r="M24" s="130"/>
      <c r="N24" s="207">
        <f t="shared" si="2"/>
        <v>0</v>
      </c>
      <c r="O24" s="207">
        <v>0</v>
      </c>
      <c r="P24" s="207">
        <f t="shared" si="0"/>
        <v>0</v>
      </c>
      <c r="Q24" s="207"/>
      <c r="R24" s="130"/>
      <c r="S24" s="207">
        <f t="shared" si="3"/>
        <v>0</v>
      </c>
      <c r="T24" s="207">
        <f t="shared" si="4"/>
        <v>0</v>
      </c>
      <c r="U24" s="132"/>
      <c r="V24" s="132"/>
      <c r="W24" s="132"/>
      <c r="X24" s="132"/>
      <c r="Y24" s="132"/>
      <c r="Z24" s="132"/>
      <c r="AA24" s="132"/>
      <c r="AB24" s="132"/>
      <c r="AC24" s="132"/>
      <c r="AE24" s="207">
        <f t="shared" si="1"/>
        <v>0</v>
      </c>
      <c r="AF24" s="132">
        <v>1690</v>
      </c>
      <c r="AG24" s="132">
        <v>1800</v>
      </c>
    </row>
    <row r="25" spans="1:33" s="133" customFormat="1" ht="11.25" customHeight="1">
      <c r="A25" s="123"/>
      <c r="B25" s="202"/>
      <c r="C25" s="200"/>
      <c r="D25" s="200"/>
      <c r="E25" s="200"/>
      <c r="F25" s="128"/>
      <c r="G25" s="129"/>
      <c r="H25" s="130"/>
      <c r="I25" s="130"/>
      <c r="J25" s="129"/>
      <c r="K25" s="129"/>
      <c r="L25" s="129"/>
      <c r="M25" s="130"/>
      <c r="N25" s="207">
        <f>SUM(F25:M25)</f>
        <v>0</v>
      </c>
      <c r="O25" s="207">
        <f>SUM(AF25:AG25)</f>
        <v>0</v>
      </c>
      <c r="P25" s="207">
        <f>TRUNC(IF(AE25=0,0,IF(AE25&lt;=1650,1650,IF(AE25&gt;=15000,15000,AE25)))*SFRate+0.5)</f>
        <v>0</v>
      </c>
      <c r="Q25" s="207"/>
      <c r="R25" s="130"/>
      <c r="S25" s="207">
        <f>SUM(O25:R25)</f>
        <v>0</v>
      </c>
      <c r="T25" s="207">
        <f>N25-S25</f>
        <v>0</v>
      </c>
      <c r="U25" s="132"/>
      <c r="V25" s="132"/>
      <c r="W25" s="132"/>
      <c r="X25" s="132"/>
      <c r="Y25" s="132"/>
      <c r="Z25" s="132"/>
      <c r="AA25" s="132"/>
      <c r="AB25" s="132"/>
      <c r="AC25" s="132"/>
      <c r="AE25" s="207">
        <f t="shared" si="1"/>
        <v>0</v>
      </c>
      <c r="AF25" s="132"/>
      <c r="AG25" s="132"/>
    </row>
    <row r="26" spans="1:33" s="133" customFormat="1" ht="11.25" customHeight="1">
      <c r="A26" s="123"/>
      <c r="B26" s="202"/>
      <c r="C26" s="200"/>
      <c r="D26" s="200"/>
      <c r="E26" s="200"/>
      <c r="F26" s="128"/>
      <c r="G26" s="129"/>
      <c r="H26" s="130"/>
      <c r="I26" s="130"/>
      <c r="J26" s="129"/>
      <c r="K26" s="129"/>
      <c r="L26" s="129"/>
      <c r="M26" s="130"/>
      <c r="N26" s="207">
        <f>SUM(F26:M26)</f>
        <v>0</v>
      </c>
      <c r="O26" s="207">
        <f>SUM(AF26:AG26)</f>
        <v>0</v>
      </c>
      <c r="P26" s="207">
        <f>TRUNC(IF(AE26=0,0,IF(AE26&lt;=1650,1650,IF(AE26&gt;=15000,15000,AE26)))*SFRate+0.5)</f>
        <v>0</v>
      </c>
      <c r="Q26" s="207"/>
      <c r="R26" s="130"/>
      <c r="S26" s="207">
        <f>SUM(O26:R26)</f>
        <v>0</v>
      </c>
      <c r="T26" s="207">
        <f>N26-S26</f>
        <v>0</v>
      </c>
      <c r="U26" s="132"/>
      <c r="V26" s="132"/>
      <c r="W26" s="132"/>
      <c r="X26" s="132"/>
      <c r="Y26" s="132"/>
      <c r="Z26" s="132"/>
      <c r="AA26" s="132"/>
      <c r="AB26" s="132"/>
      <c r="AC26" s="132"/>
      <c r="AE26" s="207">
        <f t="shared" si="1"/>
        <v>0</v>
      </c>
      <c r="AF26" s="132"/>
      <c r="AG26" s="132"/>
    </row>
    <row r="27" spans="1:33" s="133" customFormat="1" ht="11.25" customHeight="1">
      <c r="A27" s="123"/>
      <c r="B27" s="202"/>
      <c r="C27" s="200"/>
      <c r="D27" s="200"/>
      <c r="E27" s="200"/>
      <c r="F27" s="128"/>
      <c r="G27" s="129"/>
      <c r="H27" s="130"/>
      <c r="I27" s="130"/>
      <c r="J27" s="129"/>
      <c r="K27" s="129"/>
      <c r="L27" s="129"/>
      <c r="M27" s="130"/>
      <c r="N27" s="207">
        <f>SUM(F27:M27)</f>
        <v>0</v>
      </c>
      <c r="O27" s="207">
        <f>SUM(AF27:AG27)</f>
        <v>0</v>
      </c>
      <c r="P27" s="207">
        <f>TRUNC(IF(AE27=0,0,IF(AE27&lt;=1650,1650,IF(AE27&gt;=15000,15000,AE27)))*SFRate+0.5)</f>
        <v>0</v>
      </c>
      <c r="Q27" s="207"/>
      <c r="R27" s="130"/>
      <c r="S27" s="207">
        <f>SUM(O27:R27)</f>
        <v>0</v>
      </c>
      <c r="T27" s="207">
        <f>N27-S27</f>
        <v>0</v>
      </c>
      <c r="U27" s="132"/>
      <c r="V27" s="132"/>
      <c r="W27" s="132"/>
      <c r="X27" s="132"/>
      <c r="Y27" s="132"/>
      <c r="Z27" s="132"/>
      <c r="AA27" s="132"/>
      <c r="AB27" s="132"/>
      <c r="AC27" s="132"/>
      <c r="AE27" s="207">
        <f t="shared" si="1"/>
        <v>0</v>
      </c>
      <c r="AF27" s="132"/>
      <c r="AG27" s="132"/>
    </row>
    <row r="28" spans="1:33" s="133" customFormat="1" ht="11.25" customHeight="1">
      <c r="A28" s="123"/>
      <c r="B28" s="202"/>
      <c r="C28" s="200"/>
      <c r="D28" s="200"/>
      <c r="E28" s="200"/>
      <c r="F28" s="128"/>
      <c r="G28" s="129"/>
      <c r="H28" s="130"/>
      <c r="I28" s="130"/>
      <c r="J28" s="129"/>
      <c r="K28" s="129"/>
      <c r="L28" s="129"/>
      <c r="M28" s="130"/>
      <c r="N28" s="207"/>
      <c r="O28" s="207"/>
      <c r="P28" s="207"/>
      <c r="Q28" s="207"/>
      <c r="R28" s="130"/>
      <c r="S28" s="207"/>
      <c r="T28" s="207"/>
      <c r="U28" s="132"/>
      <c r="V28" s="132"/>
      <c r="W28" s="132"/>
      <c r="X28" s="132"/>
      <c r="Y28" s="132"/>
      <c r="Z28" s="132"/>
      <c r="AA28" s="132"/>
      <c r="AB28" s="132"/>
      <c r="AC28" s="132"/>
      <c r="AE28" s="207">
        <f t="shared" si="1"/>
        <v>0</v>
      </c>
      <c r="AF28" s="132"/>
      <c r="AG28" s="132"/>
    </row>
    <row r="29" spans="1:33" s="133" customFormat="1" ht="15" customHeight="1" thickBot="1">
      <c r="A29" s="166"/>
      <c r="B29" s="167"/>
      <c r="C29" s="168"/>
      <c r="D29" s="169"/>
      <c r="E29" s="170"/>
      <c r="F29" s="171">
        <f t="shared" ref="F29:T29" si="6">SUM(F6:F28)</f>
        <v>15000</v>
      </c>
      <c r="G29" s="171">
        <f t="shared" si="6"/>
        <v>0</v>
      </c>
      <c r="H29" s="171">
        <f t="shared" si="6"/>
        <v>0</v>
      </c>
      <c r="I29" s="171">
        <f t="shared" si="6"/>
        <v>10000</v>
      </c>
      <c r="J29" s="171">
        <f>SUM(J6:J28)</f>
        <v>0</v>
      </c>
      <c r="K29" s="171">
        <f>SUM(K6:K28)</f>
        <v>3500</v>
      </c>
      <c r="L29" s="171">
        <f>SUM(L6:L28)</f>
        <v>0</v>
      </c>
      <c r="M29" s="171">
        <f t="shared" si="6"/>
        <v>2000</v>
      </c>
      <c r="N29" s="171">
        <f t="shared" si="6"/>
        <v>30500</v>
      </c>
      <c r="O29" s="171">
        <f t="shared" si="6"/>
        <v>0</v>
      </c>
      <c r="P29" s="171">
        <f t="shared" si="6"/>
        <v>750</v>
      </c>
      <c r="Q29" s="171">
        <f t="shared" si="6"/>
        <v>350</v>
      </c>
      <c r="R29" s="171">
        <f t="shared" si="6"/>
        <v>0</v>
      </c>
      <c r="S29" s="171">
        <f t="shared" si="6"/>
        <v>1100</v>
      </c>
      <c r="T29" s="171">
        <f t="shared" si="6"/>
        <v>29400</v>
      </c>
      <c r="U29" s="132"/>
      <c r="V29" s="132"/>
      <c r="W29" s="132"/>
      <c r="X29" s="132"/>
      <c r="Y29" s="132"/>
      <c r="Z29" s="132"/>
      <c r="AA29" s="132"/>
      <c r="AB29" s="132"/>
    </row>
    <row r="30" spans="1:33" s="133" customFormat="1" ht="15" customHeight="1" thickTop="1">
      <c r="A30" s="172"/>
      <c r="B30" s="164"/>
      <c r="C30" s="164"/>
      <c r="D30" s="165"/>
      <c r="E30" s="165"/>
      <c r="F30" s="131"/>
      <c r="G30" s="131"/>
      <c r="H30" s="131"/>
      <c r="I30" s="131"/>
      <c r="J30" s="131"/>
      <c r="K30" s="131"/>
      <c r="L30" s="131"/>
      <c r="M30" s="173"/>
      <c r="N30" s="131"/>
      <c r="O30" s="131"/>
      <c r="P30" s="131"/>
      <c r="Q30" s="131"/>
      <c r="R30" s="131"/>
      <c r="S30" s="131"/>
      <c r="T30" s="131"/>
      <c r="U30" s="132"/>
      <c r="V30" s="132"/>
      <c r="W30" s="132"/>
      <c r="X30" s="132"/>
      <c r="Y30" s="132"/>
      <c r="Z30" s="132"/>
      <c r="AA30" s="132"/>
      <c r="AB30" s="132"/>
    </row>
  </sheetData>
  <phoneticPr fontId="27" type="noConversion"/>
  <printOptions horizontalCentered="1"/>
  <pageMargins left="0" right="0" top="0.31496062992125984" bottom="0.39370078740157483" header="0.23622047244094491" footer="0"/>
  <pageSetup paperSize="9" scale="75" fitToHeight="20" orientation="landscape" blackAndWhite="1" r:id="rId1"/>
  <headerFooter alignWithMargins="0">
    <oddFooter>&amp;LPayroll detail&amp;RPage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2" enableFormatConditionsCalculation="0">
    <tabColor indexed="48"/>
    <pageSetUpPr fitToPage="1"/>
  </sheetPr>
  <dimension ref="A1:AL26"/>
  <sheetViews>
    <sheetView workbookViewId="0">
      <selection activeCell="B21" sqref="B21"/>
    </sheetView>
  </sheetViews>
  <sheetFormatPr defaultRowHeight="21.75"/>
  <cols>
    <col min="1" max="1" width="5.140625" style="174" customWidth="1"/>
    <col min="2" max="2" width="5.85546875" style="175" customWidth="1"/>
    <col min="3" max="3" width="4.7109375" style="175" bestFit="1" customWidth="1"/>
    <col min="4" max="4" width="10.42578125" style="177" customWidth="1"/>
    <col min="5" max="5" width="15.7109375" style="177" bestFit="1" customWidth="1"/>
    <col min="6" max="6" width="11.5703125" style="176" customWidth="1"/>
    <col min="7" max="7" width="10.7109375" style="176" customWidth="1"/>
    <col min="8" max="8" width="11.28515625" style="176" customWidth="1"/>
    <col min="9" max="11" width="9.28515625" style="176" customWidth="1"/>
    <col min="12" max="12" width="10.7109375" style="176" customWidth="1"/>
    <col min="13" max="13" width="10.140625" style="176" customWidth="1"/>
    <col min="14" max="14" width="11.7109375" style="176" customWidth="1"/>
    <col min="15" max="15" width="14.28515625" style="176" bestFit="1" customWidth="1"/>
    <col min="16" max="16" width="10.5703125" style="176" bestFit="1" customWidth="1"/>
    <col min="17" max="17" width="12.140625" style="176" bestFit="1" customWidth="1"/>
    <col min="18" max="18" width="11.42578125" style="176" customWidth="1"/>
    <col min="19" max="19" width="10.7109375" style="176" customWidth="1"/>
    <col min="20" max="20" width="13.7109375" style="176" customWidth="1"/>
    <col min="21" max="21" width="10.140625" style="176" customWidth="1"/>
    <col min="22" max="28" width="5.7109375" style="176" customWidth="1"/>
    <col min="29" max="29" width="5.7109375" style="177" customWidth="1"/>
    <col min="30" max="30" width="5.7109375" customWidth="1"/>
    <col min="31" max="33" width="11.7109375" style="177" customWidth="1"/>
    <col min="34" max="34" width="9.28515625" style="177" customWidth="1"/>
    <col min="35" max="35" width="8.42578125" style="177" customWidth="1"/>
    <col min="36" max="36" width="11" style="177" customWidth="1"/>
    <col min="37" max="38" width="10.140625" style="177" customWidth="1"/>
    <col min="39" max="39" width="9.28515625" style="177" customWidth="1"/>
    <col min="40" max="16384" width="9.140625" style="177"/>
  </cols>
  <sheetData>
    <row r="1" spans="1:38" s="141" customFormat="1" ht="14.25">
      <c r="A1" s="139" t="str">
        <f>CompanyProfile!$C$2</f>
        <v>หจก.ศิวะกรเซฟตี้ จำกัด</v>
      </c>
      <c r="B1" s="140"/>
      <c r="C1" s="140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</row>
    <row r="2" spans="1:38" s="141" customFormat="1" ht="14.25">
      <c r="A2" s="143" t="str">
        <f>"รายละเอียดประกอบการจ่ายเงินเดือน  ประจำเดือน"&amp;TEXT(T2,"ดดดด bbbb")</f>
        <v>รายละเอียดประกอบการจ่ายเงินเดือน  ประจำเดือนมกราคม 2557</v>
      </c>
      <c r="B2" s="140"/>
      <c r="C2" s="140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4">
        <f>PDate</f>
        <v>41654</v>
      </c>
      <c r="U2" s="142"/>
      <c r="V2" s="142"/>
      <c r="W2" s="142"/>
      <c r="X2" s="142"/>
      <c r="Y2" s="142"/>
      <c r="Z2" s="142"/>
      <c r="AA2" s="142"/>
      <c r="AB2" s="142"/>
      <c r="AC2" s="146"/>
      <c r="AE2" s="307" t="s">
        <v>222</v>
      </c>
      <c r="AF2" s="307" t="s">
        <v>53</v>
      </c>
      <c r="AG2" s="307" t="s">
        <v>53</v>
      </c>
      <c r="AH2" s="146"/>
      <c r="AI2" s="146"/>
      <c r="AJ2" s="146"/>
      <c r="AK2" s="146"/>
      <c r="AL2" s="146"/>
    </row>
    <row r="3" spans="1:38" s="141" customFormat="1" ht="8.25" customHeight="1">
      <c r="A3" s="139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308"/>
      <c r="AF3" s="308"/>
      <c r="AG3" s="308"/>
    </row>
    <row r="4" spans="1:38" s="156" customFormat="1" ht="18" customHeight="1">
      <c r="A4" s="147" t="s">
        <v>123</v>
      </c>
      <c r="B4" s="148" t="s">
        <v>180</v>
      </c>
      <c r="C4" s="149" t="s">
        <v>185</v>
      </c>
      <c r="D4" s="150" t="s">
        <v>80</v>
      </c>
      <c r="E4" s="151" t="s">
        <v>184</v>
      </c>
      <c r="F4" s="152" t="s">
        <v>178</v>
      </c>
      <c r="G4" s="153"/>
      <c r="H4" s="153"/>
      <c r="I4" s="153"/>
      <c r="J4" s="153"/>
      <c r="K4" s="153"/>
      <c r="L4" s="153"/>
      <c r="M4" s="153"/>
      <c r="N4" s="153"/>
      <c r="O4" s="153" t="s">
        <v>179</v>
      </c>
      <c r="P4" s="153"/>
      <c r="Q4" s="153"/>
      <c r="R4" s="153"/>
      <c r="S4" s="153"/>
      <c r="T4" s="154" t="s">
        <v>56</v>
      </c>
      <c r="U4" s="155"/>
      <c r="V4" s="155"/>
      <c r="W4" s="155"/>
      <c r="X4" s="155"/>
      <c r="Y4" s="155"/>
      <c r="Z4" s="155"/>
      <c r="AA4" s="155"/>
      <c r="AB4" s="155"/>
      <c r="AC4" s="157"/>
      <c r="AE4" s="309" t="s">
        <v>223</v>
      </c>
      <c r="AF4" s="309" t="s">
        <v>311</v>
      </c>
      <c r="AG4" s="309" t="s">
        <v>311</v>
      </c>
      <c r="AH4" s="157"/>
      <c r="AI4" s="157"/>
      <c r="AJ4" s="157"/>
      <c r="AK4" s="157"/>
      <c r="AL4" s="157"/>
    </row>
    <row r="5" spans="1:38" s="214" customFormat="1" ht="11.25">
      <c r="A5" s="158" t="s">
        <v>129</v>
      </c>
      <c r="B5" s="159"/>
      <c r="C5" s="160" t="s">
        <v>186</v>
      </c>
      <c r="D5" s="161"/>
      <c r="E5" s="162"/>
      <c r="F5" s="163" t="s">
        <v>321</v>
      </c>
      <c r="G5" s="138" t="s">
        <v>51</v>
      </c>
      <c r="H5" s="138" t="s">
        <v>425</v>
      </c>
      <c r="I5" s="138" t="s">
        <v>426</v>
      </c>
      <c r="J5" s="138" t="s">
        <v>519</v>
      </c>
      <c r="K5" s="138" t="s">
        <v>455</v>
      </c>
      <c r="L5" s="138" t="s">
        <v>369</v>
      </c>
      <c r="M5" s="138" t="s">
        <v>55</v>
      </c>
      <c r="N5" s="320" t="s">
        <v>60</v>
      </c>
      <c r="O5" s="320" t="s">
        <v>181</v>
      </c>
      <c r="P5" s="320" t="s">
        <v>58</v>
      </c>
      <c r="Q5" s="320" t="s">
        <v>183</v>
      </c>
      <c r="R5" s="138" t="s">
        <v>55</v>
      </c>
      <c r="S5" s="320" t="s">
        <v>322</v>
      </c>
      <c r="T5" s="321"/>
      <c r="U5" s="213"/>
      <c r="V5" s="213"/>
      <c r="W5" s="213"/>
      <c r="X5" s="213"/>
      <c r="Y5" s="213"/>
      <c r="Z5" s="213"/>
      <c r="AA5" s="213"/>
      <c r="AB5" s="213"/>
      <c r="AE5" s="310" t="s">
        <v>58</v>
      </c>
      <c r="AF5" s="310" t="s">
        <v>222</v>
      </c>
      <c r="AG5" s="310" t="s">
        <v>312</v>
      </c>
    </row>
    <row r="6" spans="1:38" s="133" customFormat="1" ht="11.25" customHeight="1">
      <c r="A6" s="123">
        <v>1</v>
      </c>
      <c r="B6" s="202">
        <v>1001</v>
      </c>
      <c r="C6" s="200" t="s">
        <v>427</v>
      </c>
      <c r="D6" s="200" t="s">
        <v>429</v>
      </c>
      <c r="E6" s="200" t="s">
        <v>463</v>
      </c>
      <c r="F6" s="128">
        <v>150000</v>
      </c>
      <c r="G6" s="129">
        <v>1500</v>
      </c>
      <c r="H6" s="130">
        <v>2500</v>
      </c>
      <c r="I6" s="130">
        <v>1500</v>
      </c>
      <c r="J6" s="129">
        <v>2500</v>
      </c>
      <c r="K6" s="129">
        <v>3500</v>
      </c>
      <c r="L6" s="129">
        <v>4500</v>
      </c>
      <c r="M6" s="130">
        <v>5500</v>
      </c>
      <c r="N6" s="207">
        <f>SUM(F6:M6)</f>
        <v>171500</v>
      </c>
      <c r="O6" s="207">
        <f>SUM(AF6:AG6)</f>
        <v>24339</v>
      </c>
      <c r="P6" s="207">
        <f t="shared" ref="P6:P20" si="0">TRUNC(IF(AE6=0,0,IF(AE6&lt;=1650,1650,IF(AE6&gt;=15000,15000,AE6)))*SFRate+0.5)</f>
        <v>750</v>
      </c>
      <c r="Q6" s="207"/>
      <c r="R6" s="130"/>
      <c r="S6" s="207">
        <f>SUM(O6:R6)</f>
        <v>25089</v>
      </c>
      <c r="T6" s="207">
        <f>N6-S6</f>
        <v>146411</v>
      </c>
      <c r="U6" s="132"/>
      <c r="V6" s="132"/>
      <c r="W6" s="132"/>
      <c r="X6" s="132"/>
      <c r="Y6" s="132"/>
      <c r="Z6" s="132"/>
      <c r="AA6" s="132"/>
      <c r="AB6" s="132"/>
      <c r="AC6" s="132"/>
      <c r="AE6" s="207">
        <f>F6+H6+I6+K6</f>
        <v>157500</v>
      </c>
      <c r="AF6" s="132">
        <v>22205</v>
      </c>
      <c r="AG6" s="132">
        <v>2134</v>
      </c>
    </row>
    <row r="7" spans="1:38" s="133" customFormat="1" ht="11.25" customHeight="1">
      <c r="A7" s="123">
        <v>2</v>
      </c>
      <c r="B7" s="202">
        <v>1002</v>
      </c>
      <c r="C7" s="200" t="s">
        <v>427</v>
      </c>
      <c r="D7" s="200" t="s">
        <v>430</v>
      </c>
      <c r="E7" s="200" t="s">
        <v>464</v>
      </c>
      <c r="F7" s="128">
        <v>85000</v>
      </c>
      <c r="G7" s="129">
        <v>1000</v>
      </c>
      <c r="H7" s="130">
        <v>2000</v>
      </c>
      <c r="I7" s="130">
        <v>3000</v>
      </c>
      <c r="J7" s="130">
        <v>4000</v>
      </c>
      <c r="K7" s="130">
        <v>5000</v>
      </c>
      <c r="L7" s="130">
        <v>6000</v>
      </c>
      <c r="M7" s="130">
        <v>7000</v>
      </c>
      <c r="N7" s="207">
        <f>SUM(F7:M7)</f>
        <v>113000</v>
      </c>
      <c r="O7" s="207">
        <f>SUM(AF7:AG7)</f>
        <v>11072</v>
      </c>
      <c r="P7" s="207">
        <f t="shared" si="0"/>
        <v>750</v>
      </c>
      <c r="Q7" s="207"/>
      <c r="R7" s="130"/>
      <c r="S7" s="207">
        <f>SUM(O7:R7)</f>
        <v>11822</v>
      </c>
      <c r="T7" s="207">
        <f>N7-S7</f>
        <v>101178</v>
      </c>
      <c r="U7" s="132"/>
      <c r="V7" s="132"/>
      <c r="W7" s="132"/>
      <c r="X7" s="132"/>
      <c r="Y7" s="132"/>
      <c r="Z7" s="132"/>
      <c r="AA7" s="132"/>
      <c r="AB7" s="132"/>
      <c r="AC7" s="132"/>
      <c r="AE7" s="207">
        <f t="shared" ref="AE7:AE24" si="1">F7+H7+I7+K7</f>
        <v>95000</v>
      </c>
      <c r="AF7" s="132">
        <v>9272</v>
      </c>
      <c r="AG7" s="132">
        <v>1800</v>
      </c>
    </row>
    <row r="8" spans="1:38" s="133" customFormat="1" ht="11.25" customHeight="1">
      <c r="A8" s="123">
        <v>3</v>
      </c>
      <c r="B8" s="202">
        <v>1003</v>
      </c>
      <c r="C8" s="200" t="s">
        <v>427</v>
      </c>
      <c r="D8" s="200" t="s">
        <v>431</v>
      </c>
      <c r="E8" s="200" t="s">
        <v>465</v>
      </c>
      <c r="F8" s="128">
        <v>12000</v>
      </c>
      <c r="G8" s="129">
        <v>0</v>
      </c>
      <c r="H8" s="130">
        <v>0</v>
      </c>
      <c r="I8" s="130"/>
      <c r="J8" s="129"/>
      <c r="K8" s="129"/>
      <c r="L8" s="129"/>
      <c r="M8" s="130"/>
      <c r="N8" s="207">
        <f>SUM(F8:M8)</f>
        <v>12000</v>
      </c>
      <c r="O8" s="207">
        <f>SUM(AF8:AG8)</f>
        <v>0</v>
      </c>
      <c r="P8" s="207">
        <f t="shared" si="0"/>
        <v>600</v>
      </c>
      <c r="Q8" s="207"/>
      <c r="R8" s="130"/>
      <c r="S8" s="207">
        <f>SUM(O8:R8)</f>
        <v>600</v>
      </c>
      <c r="T8" s="207">
        <f>N8-S8</f>
        <v>11400</v>
      </c>
      <c r="U8" s="132"/>
      <c r="V8" s="132"/>
      <c r="W8" s="132"/>
      <c r="X8" s="132"/>
      <c r="Y8" s="132"/>
      <c r="Z8" s="132"/>
      <c r="AA8" s="132"/>
      <c r="AB8" s="132"/>
      <c r="AC8" s="132"/>
      <c r="AE8" s="207">
        <f t="shared" si="1"/>
        <v>12000</v>
      </c>
      <c r="AF8" s="132"/>
      <c r="AG8" s="132"/>
    </row>
    <row r="9" spans="1:38" s="133" customFormat="1" ht="11.25" customHeight="1">
      <c r="A9" s="123">
        <v>4</v>
      </c>
      <c r="B9" s="202">
        <v>1004</v>
      </c>
      <c r="C9" s="200" t="s">
        <v>173</v>
      </c>
      <c r="D9" s="200" t="s">
        <v>432</v>
      </c>
      <c r="E9" s="200" t="s">
        <v>466</v>
      </c>
      <c r="F9" s="128">
        <v>38896</v>
      </c>
      <c r="G9" s="129">
        <v>0</v>
      </c>
      <c r="H9" s="130"/>
      <c r="I9" s="130"/>
      <c r="J9" s="129"/>
      <c r="K9" s="129"/>
      <c r="L9" s="129"/>
      <c r="M9" s="130"/>
      <c r="N9" s="207">
        <f t="shared" ref="N9:N20" si="2">SUM(F9:M9)</f>
        <v>38896</v>
      </c>
      <c r="O9" s="207">
        <f t="shared" ref="O9:O20" si="3">SUM(AF9:AG9)</f>
        <v>1080</v>
      </c>
      <c r="P9" s="207">
        <f t="shared" si="0"/>
        <v>750</v>
      </c>
      <c r="Q9" s="207"/>
      <c r="R9" s="130"/>
      <c r="S9" s="207">
        <f t="shared" ref="S9:S20" si="4">SUM(O9:R9)</f>
        <v>1830</v>
      </c>
      <c r="T9" s="207">
        <f t="shared" ref="T9:T20" si="5">N9-S9</f>
        <v>37066</v>
      </c>
      <c r="U9" s="132"/>
      <c r="V9" s="132"/>
      <c r="W9" s="132"/>
      <c r="X9" s="132"/>
      <c r="Y9" s="132"/>
      <c r="Z9" s="132"/>
      <c r="AA9" s="132"/>
      <c r="AB9" s="132"/>
      <c r="AC9" s="132"/>
      <c r="AE9" s="207">
        <f t="shared" si="1"/>
        <v>38896</v>
      </c>
      <c r="AF9" s="132">
        <v>1080</v>
      </c>
      <c r="AG9" s="132">
        <v>0</v>
      </c>
    </row>
    <row r="10" spans="1:38" s="133" customFormat="1" ht="11.25" customHeight="1">
      <c r="A10" s="123">
        <v>5</v>
      </c>
      <c r="B10" s="202">
        <v>1008</v>
      </c>
      <c r="C10" s="200" t="s">
        <v>173</v>
      </c>
      <c r="D10" s="200" t="s">
        <v>436</v>
      </c>
      <c r="E10" s="200" t="s">
        <v>470</v>
      </c>
      <c r="F10" s="128">
        <v>6000</v>
      </c>
      <c r="G10" s="129">
        <v>0</v>
      </c>
      <c r="H10" s="130"/>
      <c r="I10" s="130"/>
      <c r="J10" s="129"/>
      <c r="K10" s="129"/>
      <c r="L10" s="129"/>
      <c r="M10" s="130"/>
      <c r="N10" s="207">
        <f t="shared" si="2"/>
        <v>6000</v>
      </c>
      <c r="O10" s="207">
        <f t="shared" si="3"/>
        <v>0</v>
      </c>
      <c r="P10" s="207">
        <f t="shared" si="0"/>
        <v>300</v>
      </c>
      <c r="Q10" s="207"/>
      <c r="R10" s="130"/>
      <c r="S10" s="207">
        <f t="shared" si="4"/>
        <v>300</v>
      </c>
      <c r="T10" s="207">
        <f t="shared" si="5"/>
        <v>5700</v>
      </c>
      <c r="U10" s="132"/>
      <c r="V10" s="132"/>
      <c r="W10" s="132"/>
      <c r="X10" s="132"/>
      <c r="Y10" s="132"/>
      <c r="Z10" s="132"/>
      <c r="AA10" s="132"/>
      <c r="AB10" s="132"/>
      <c r="AC10" s="132"/>
      <c r="AE10" s="207">
        <f t="shared" si="1"/>
        <v>6000</v>
      </c>
      <c r="AF10" s="132"/>
      <c r="AG10" s="132"/>
    </row>
    <row r="11" spans="1:38" s="133" customFormat="1" ht="11.25" customHeight="1">
      <c r="A11" s="123">
        <v>6</v>
      </c>
      <c r="B11" s="202">
        <v>1010</v>
      </c>
      <c r="C11" s="200" t="s">
        <v>427</v>
      </c>
      <c r="D11" s="200" t="s">
        <v>438</v>
      </c>
      <c r="E11" s="200" t="s">
        <v>472</v>
      </c>
      <c r="F11" s="128">
        <v>32760</v>
      </c>
      <c r="G11" s="128">
        <v>850</v>
      </c>
      <c r="H11" s="130">
        <v>3000</v>
      </c>
      <c r="I11" s="130">
        <v>1500</v>
      </c>
      <c r="J11" s="129">
        <v>2500</v>
      </c>
      <c r="K11" s="129">
        <v>7850</v>
      </c>
      <c r="L11" s="129"/>
      <c r="M11" s="130"/>
      <c r="N11" s="207">
        <f t="shared" si="2"/>
        <v>48460</v>
      </c>
      <c r="O11" s="207">
        <f t="shared" si="3"/>
        <v>2045</v>
      </c>
      <c r="P11" s="207">
        <f t="shared" si="0"/>
        <v>750</v>
      </c>
      <c r="Q11" s="207"/>
      <c r="R11" s="130"/>
      <c r="S11" s="207">
        <f t="shared" si="4"/>
        <v>2795</v>
      </c>
      <c r="T11" s="207">
        <f t="shared" si="5"/>
        <v>45665</v>
      </c>
      <c r="U11" s="132"/>
      <c r="V11" s="132"/>
      <c r="W11" s="132"/>
      <c r="X11" s="132"/>
      <c r="Y11" s="132"/>
      <c r="Z11" s="132"/>
      <c r="AA11" s="132"/>
      <c r="AB11" s="132"/>
      <c r="AC11" s="132"/>
      <c r="AE11" s="207">
        <f t="shared" si="1"/>
        <v>45110</v>
      </c>
      <c r="AF11" s="132">
        <v>1710</v>
      </c>
      <c r="AG11" s="132">
        <v>335</v>
      </c>
    </row>
    <row r="12" spans="1:38" s="133" customFormat="1" ht="11.25" customHeight="1">
      <c r="A12" s="123">
        <v>7</v>
      </c>
      <c r="B12" s="202">
        <v>1011</v>
      </c>
      <c r="C12" s="200" t="s">
        <v>427</v>
      </c>
      <c r="D12" s="200" t="s">
        <v>439</v>
      </c>
      <c r="E12" s="200" t="s">
        <v>473</v>
      </c>
      <c r="F12" s="128">
        <v>7554</v>
      </c>
      <c r="G12" s="129">
        <v>0</v>
      </c>
      <c r="H12" s="130"/>
      <c r="I12" s="130"/>
      <c r="J12" s="129"/>
      <c r="K12" s="129"/>
      <c r="L12" s="129"/>
      <c r="M12" s="130"/>
      <c r="N12" s="207">
        <f t="shared" si="2"/>
        <v>7554</v>
      </c>
      <c r="O12" s="207">
        <f t="shared" si="3"/>
        <v>0</v>
      </c>
      <c r="P12" s="207">
        <f t="shared" si="0"/>
        <v>378</v>
      </c>
      <c r="Q12" s="207"/>
      <c r="R12" s="130"/>
      <c r="S12" s="207">
        <f t="shared" si="4"/>
        <v>378</v>
      </c>
      <c r="T12" s="207">
        <f t="shared" si="5"/>
        <v>7176</v>
      </c>
      <c r="U12" s="132"/>
      <c r="V12" s="132"/>
      <c r="W12" s="132"/>
      <c r="X12" s="132"/>
      <c r="Y12" s="132"/>
      <c r="Z12" s="132"/>
      <c r="AA12" s="132"/>
      <c r="AB12" s="132"/>
      <c r="AC12" s="132"/>
      <c r="AE12" s="207">
        <f t="shared" si="1"/>
        <v>7554</v>
      </c>
      <c r="AF12" s="132"/>
      <c r="AG12" s="132"/>
    </row>
    <row r="13" spans="1:38" s="133" customFormat="1" ht="11.25" customHeight="1">
      <c r="A13" s="123">
        <v>8</v>
      </c>
      <c r="B13" s="202">
        <v>1012</v>
      </c>
      <c r="C13" s="200" t="s">
        <v>173</v>
      </c>
      <c r="D13" s="200" t="s">
        <v>440</v>
      </c>
      <c r="E13" s="200" t="s">
        <v>474</v>
      </c>
      <c r="F13" s="128">
        <v>28000</v>
      </c>
      <c r="G13" s="129">
        <v>0</v>
      </c>
      <c r="H13" s="130"/>
      <c r="I13" s="130"/>
      <c r="J13" s="130">
        <v>1500</v>
      </c>
      <c r="K13" s="130">
        <v>1500</v>
      </c>
      <c r="L13" s="129"/>
      <c r="M13" s="130"/>
      <c r="N13" s="207">
        <f t="shared" si="2"/>
        <v>31000</v>
      </c>
      <c r="O13" s="207">
        <f t="shared" si="3"/>
        <v>280</v>
      </c>
      <c r="P13" s="207">
        <f t="shared" si="0"/>
        <v>750</v>
      </c>
      <c r="Q13" s="207"/>
      <c r="R13" s="130"/>
      <c r="S13" s="207">
        <f t="shared" si="4"/>
        <v>1030</v>
      </c>
      <c r="T13" s="207">
        <f t="shared" si="5"/>
        <v>29970</v>
      </c>
      <c r="U13" s="132"/>
      <c r="V13" s="132"/>
      <c r="W13" s="132"/>
      <c r="X13" s="132"/>
      <c r="Y13" s="132"/>
      <c r="Z13" s="132"/>
      <c r="AA13" s="132"/>
      <c r="AB13" s="132"/>
      <c r="AC13" s="132"/>
      <c r="AE13" s="207">
        <f t="shared" si="1"/>
        <v>29500</v>
      </c>
      <c r="AF13" s="132">
        <v>355</v>
      </c>
      <c r="AG13" s="132">
        <v>-75</v>
      </c>
    </row>
    <row r="14" spans="1:38" s="133" customFormat="1" ht="11.25" customHeight="1">
      <c r="A14" s="123">
        <v>9</v>
      </c>
      <c r="B14" s="202">
        <v>1013</v>
      </c>
      <c r="C14" s="200" t="s">
        <v>173</v>
      </c>
      <c r="D14" s="200" t="s">
        <v>441</v>
      </c>
      <c r="E14" s="200" t="s">
        <v>475</v>
      </c>
      <c r="F14" s="128">
        <v>17000</v>
      </c>
      <c r="G14" s="129">
        <v>0</v>
      </c>
      <c r="H14" s="130"/>
      <c r="I14" s="130"/>
      <c r="J14" s="130">
        <v>1500</v>
      </c>
      <c r="K14" s="130">
        <v>1500</v>
      </c>
      <c r="L14" s="129"/>
      <c r="M14" s="130"/>
      <c r="N14" s="207">
        <f t="shared" si="2"/>
        <v>20000</v>
      </c>
      <c r="O14" s="207">
        <f t="shared" si="3"/>
        <v>0</v>
      </c>
      <c r="P14" s="207">
        <f t="shared" si="0"/>
        <v>750</v>
      </c>
      <c r="Q14" s="207"/>
      <c r="R14" s="130"/>
      <c r="S14" s="207">
        <f t="shared" si="4"/>
        <v>750</v>
      </c>
      <c r="T14" s="207">
        <f t="shared" si="5"/>
        <v>19250</v>
      </c>
      <c r="U14" s="132"/>
      <c r="V14" s="132"/>
      <c r="W14" s="132"/>
      <c r="X14" s="132"/>
      <c r="Y14" s="132"/>
      <c r="Z14" s="132"/>
      <c r="AA14" s="132"/>
      <c r="AB14" s="132"/>
      <c r="AC14" s="132"/>
      <c r="AE14" s="207">
        <f t="shared" si="1"/>
        <v>18500</v>
      </c>
      <c r="AF14" s="132"/>
      <c r="AG14" s="132"/>
    </row>
    <row r="15" spans="1:38" s="133" customFormat="1" ht="11.25" customHeight="1">
      <c r="A15" s="123">
        <v>10</v>
      </c>
      <c r="B15" s="202">
        <v>1014</v>
      </c>
      <c r="C15" s="200" t="s">
        <v>427</v>
      </c>
      <c r="D15" s="200" t="s">
        <v>442</v>
      </c>
      <c r="E15" s="200" t="s">
        <v>476</v>
      </c>
      <c r="F15" s="128">
        <v>15000</v>
      </c>
      <c r="G15" s="128">
        <v>7554</v>
      </c>
      <c r="H15" s="130"/>
      <c r="I15" s="130"/>
      <c r="J15" s="129"/>
      <c r="K15" s="129"/>
      <c r="L15" s="129"/>
      <c r="M15" s="130"/>
      <c r="N15" s="207">
        <f t="shared" si="2"/>
        <v>22554</v>
      </c>
      <c r="O15" s="207">
        <f t="shared" si="3"/>
        <v>0</v>
      </c>
      <c r="P15" s="207">
        <f t="shared" si="0"/>
        <v>750</v>
      </c>
      <c r="Q15" s="207"/>
      <c r="R15" s="130"/>
      <c r="S15" s="207">
        <f t="shared" si="4"/>
        <v>750</v>
      </c>
      <c r="T15" s="207">
        <f t="shared" si="5"/>
        <v>21804</v>
      </c>
      <c r="U15" s="132"/>
      <c r="V15" s="132"/>
      <c r="W15" s="132"/>
      <c r="X15" s="132"/>
      <c r="Y15" s="132"/>
      <c r="Z15" s="132"/>
      <c r="AA15" s="132"/>
      <c r="AB15" s="132"/>
      <c r="AC15" s="132"/>
      <c r="AE15" s="207">
        <f t="shared" si="1"/>
        <v>15000</v>
      </c>
      <c r="AF15" s="132"/>
      <c r="AG15" s="132"/>
    </row>
    <row r="16" spans="1:38" s="133" customFormat="1" ht="11.25" customHeight="1">
      <c r="A16" s="123">
        <v>11</v>
      </c>
      <c r="B16" s="202">
        <v>1015</v>
      </c>
      <c r="C16" s="200" t="s">
        <v>173</v>
      </c>
      <c r="D16" s="200" t="s">
        <v>428</v>
      </c>
      <c r="E16" s="200" t="s">
        <v>477</v>
      </c>
      <c r="F16" s="128">
        <v>40000</v>
      </c>
      <c r="G16" s="128">
        <v>856</v>
      </c>
      <c r="H16" s="130"/>
      <c r="I16" s="130"/>
      <c r="J16" s="129"/>
      <c r="K16" s="129"/>
      <c r="L16" s="129"/>
      <c r="M16" s="130"/>
      <c r="N16" s="207">
        <f t="shared" si="2"/>
        <v>40856</v>
      </c>
      <c r="O16" s="207">
        <f t="shared" si="3"/>
        <v>1275</v>
      </c>
      <c r="P16" s="207">
        <f t="shared" si="0"/>
        <v>750</v>
      </c>
      <c r="Q16" s="207"/>
      <c r="R16" s="130"/>
      <c r="S16" s="207">
        <f t="shared" si="4"/>
        <v>2025</v>
      </c>
      <c r="T16" s="207">
        <f t="shared" si="5"/>
        <v>38831</v>
      </c>
      <c r="U16" s="132"/>
      <c r="V16" s="132"/>
      <c r="W16" s="132"/>
      <c r="X16" s="132"/>
      <c r="Y16" s="132"/>
      <c r="Z16" s="132"/>
      <c r="AA16" s="132"/>
      <c r="AB16" s="132"/>
      <c r="AC16" s="132"/>
      <c r="AE16" s="207">
        <f t="shared" si="1"/>
        <v>40000</v>
      </c>
      <c r="AF16" s="132">
        <v>1190</v>
      </c>
      <c r="AG16" s="132">
        <v>85</v>
      </c>
    </row>
    <row r="17" spans="1:33" s="133" customFormat="1" ht="11.25" customHeight="1">
      <c r="A17" s="123">
        <v>12</v>
      </c>
      <c r="B17" s="202">
        <v>1016</v>
      </c>
      <c r="C17" s="200" t="s">
        <v>173</v>
      </c>
      <c r="D17" s="200" t="s">
        <v>429</v>
      </c>
      <c r="E17" s="200" t="s">
        <v>478</v>
      </c>
      <c r="F17" s="128">
        <v>32760</v>
      </c>
      <c r="G17" s="128">
        <v>4588</v>
      </c>
      <c r="H17" s="130">
        <v>3000</v>
      </c>
      <c r="I17" s="130"/>
      <c r="J17" s="129"/>
      <c r="K17" s="129"/>
      <c r="L17" s="129"/>
      <c r="M17" s="130"/>
      <c r="N17" s="207">
        <f t="shared" si="2"/>
        <v>40348</v>
      </c>
      <c r="O17" s="207">
        <f t="shared" si="3"/>
        <v>1224</v>
      </c>
      <c r="P17" s="207">
        <f t="shared" si="0"/>
        <v>750</v>
      </c>
      <c r="Q17" s="207"/>
      <c r="R17" s="130"/>
      <c r="S17" s="207">
        <f t="shared" si="4"/>
        <v>1974</v>
      </c>
      <c r="T17" s="207">
        <f t="shared" si="5"/>
        <v>38374</v>
      </c>
      <c r="U17" s="132"/>
      <c r="V17" s="132"/>
      <c r="W17" s="132"/>
      <c r="X17" s="132"/>
      <c r="Y17" s="132"/>
      <c r="Z17" s="132"/>
      <c r="AA17" s="132"/>
      <c r="AB17" s="132"/>
      <c r="AC17" s="132"/>
      <c r="AE17" s="207">
        <f t="shared" si="1"/>
        <v>35760</v>
      </c>
      <c r="AF17" s="132">
        <v>766</v>
      </c>
      <c r="AG17" s="132">
        <v>458</v>
      </c>
    </row>
    <row r="18" spans="1:33" s="133" customFormat="1" ht="11.25" customHeight="1">
      <c r="A18" s="123">
        <v>13</v>
      </c>
      <c r="B18" s="202">
        <v>1017</v>
      </c>
      <c r="C18" s="200" t="s">
        <v>173</v>
      </c>
      <c r="D18" s="200" t="s">
        <v>430</v>
      </c>
      <c r="E18" s="200" t="s">
        <v>479</v>
      </c>
      <c r="F18" s="128">
        <v>18550</v>
      </c>
      <c r="G18" s="128">
        <v>2356</v>
      </c>
      <c r="H18" s="130">
        <v>1500</v>
      </c>
      <c r="I18" s="130">
        <v>1500</v>
      </c>
      <c r="J18" s="129"/>
      <c r="K18" s="129"/>
      <c r="L18" s="129"/>
      <c r="M18" s="130"/>
      <c r="N18" s="207">
        <f t="shared" si="2"/>
        <v>23906</v>
      </c>
      <c r="O18" s="207">
        <f t="shared" si="3"/>
        <v>0</v>
      </c>
      <c r="P18" s="207">
        <f t="shared" si="0"/>
        <v>750</v>
      </c>
      <c r="Q18" s="207"/>
      <c r="R18" s="130"/>
      <c r="S18" s="207">
        <f t="shared" si="4"/>
        <v>750</v>
      </c>
      <c r="T18" s="207">
        <f t="shared" si="5"/>
        <v>23156</v>
      </c>
      <c r="U18" s="132"/>
      <c r="V18" s="132"/>
      <c r="W18" s="132"/>
      <c r="X18" s="132"/>
      <c r="Y18" s="132"/>
      <c r="Z18" s="132"/>
      <c r="AA18" s="132"/>
      <c r="AB18" s="132"/>
      <c r="AC18" s="132"/>
      <c r="AE18" s="207">
        <f t="shared" si="1"/>
        <v>21550</v>
      </c>
      <c r="AF18" s="132"/>
      <c r="AG18" s="132"/>
    </row>
    <row r="19" spans="1:33" s="133" customFormat="1" ht="11.25" customHeight="1">
      <c r="A19" s="123">
        <v>14</v>
      </c>
      <c r="B19" s="202">
        <v>1018</v>
      </c>
      <c r="C19" s="200" t="s">
        <v>173</v>
      </c>
      <c r="D19" s="200" t="s">
        <v>431</v>
      </c>
      <c r="E19" s="200" t="s">
        <v>480</v>
      </c>
      <c r="F19" s="128">
        <v>18550</v>
      </c>
      <c r="G19" s="129">
        <v>0</v>
      </c>
      <c r="H19" s="130">
        <v>1500</v>
      </c>
      <c r="I19" s="130">
        <v>1500</v>
      </c>
      <c r="J19" s="129"/>
      <c r="K19" s="129"/>
      <c r="L19" s="129"/>
      <c r="M19" s="130"/>
      <c r="N19" s="207">
        <f t="shared" si="2"/>
        <v>21550</v>
      </c>
      <c r="O19" s="207">
        <f t="shared" si="3"/>
        <v>37</v>
      </c>
      <c r="P19" s="207">
        <f t="shared" si="0"/>
        <v>750</v>
      </c>
      <c r="Q19" s="207"/>
      <c r="R19" s="130"/>
      <c r="S19" s="207">
        <f t="shared" si="4"/>
        <v>787</v>
      </c>
      <c r="T19" s="207">
        <f t="shared" si="5"/>
        <v>20763</v>
      </c>
      <c r="U19" s="132"/>
      <c r="V19" s="132"/>
      <c r="W19" s="132"/>
      <c r="X19" s="132"/>
      <c r="Y19" s="132"/>
      <c r="Z19" s="132"/>
      <c r="AA19" s="132"/>
      <c r="AB19" s="132"/>
      <c r="AC19" s="132"/>
      <c r="AE19" s="207">
        <f t="shared" si="1"/>
        <v>21550</v>
      </c>
      <c r="AF19" s="132">
        <v>37</v>
      </c>
      <c r="AG19" s="132">
        <v>0</v>
      </c>
    </row>
    <row r="20" spans="1:33" s="133" customFormat="1" ht="11.25" customHeight="1">
      <c r="A20" s="123">
        <v>15</v>
      </c>
      <c r="B20" s="202">
        <v>1019</v>
      </c>
      <c r="C20" s="200" t="s">
        <v>173</v>
      </c>
      <c r="D20" s="200" t="s">
        <v>432</v>
      </c>
      <c r="E20" s="200" t="s">
        <v>481</v>
      </c>
      <c r="F20" s="128">
        <v>35000</v>
      </c>
      <c r="G20" s="129">
        <v>1000</v>
      </c>
      <c r="H20" s="130">
        <v>2000</v>
      </c>
      <c r="I20" s="130">
        <v>3000</v>
      </c>
      <c r="J20" s="130">
        <v>4000</v>
      </c>
      <c r="K20" s="130">
        <v>5000</v>
      </c>
      <c r="L20" s="130">
        <v>6000</v>
      </c>
      <c r="M20" s="130">
        <v>7000</v>
      </c>
      <c r="N20" s="207">
        <f t="shared" si="2"/>
        <v>63000</v>
      </c>
      <c r="O20" s="207">
        <f t="shared" si="3"/>
        <v>3490</v>
      </c>
      <c r="P20" s="207">
        <f t="shared" si="0"/>
        <v>750</v>
      </c>
      <c r="Q20" s="207"/>
      <c r="R20" s="130"/>
      <c r="S20" s="207">
        <f t="shared" si="4"/>
        <v>4240</v>
      </c>
      <c r="T20" s="207">
        <f t="shared" si="5"/>
        <v>58760</v>
      </c>
      <c r="U20" s="132"/>
      <c r="V20" s="132"/>
      <c r="W20" s="132"/>
      <c r="X20" s="132"/>
      <c r="Y20" s="132"/>
      <c r="Z20" s="132"/>
      <c r="AA20" s="132"/>
      <c r="AB20" s="132"/>
      <c r="AC20" s="132"/>
      <c r="AE20" s="207">
        <f t="shared" si="1"/>
        <v>45000</v>
      </c>
      <c r="AF20" s="132">
        <v>1690</v>
      </c>
      <c r="AG20" s="132">
        <v>1800</v>
      </c>
    </row>
    <row r="21" spans="1:33" s="133" customFormat="1" ht="11.25" customHeight="1">
      <c r="A21" s="123"/>
      <c r="B21" s="202"/>
      <c r="C21" s="200"/>
      <c r="D21" s="200"/>
      <c r="E21" s="200"/>
      <c r="F21" s="128"/>
      <c r="G21" s="129"/>
      <c r="H21" s="130"/>
      <c r="I21" s="130"/>
      <c r="J21" s="129"/>
      <c r="K21" s="129"/>
      <c r="L21" s="129"/>
      <c r="M21" s="130"/>
      <c r="N21" s="207">
        <f>SUM(F21:M21)</f>
        <v>0</v>
      </c>
      <c r="O21" s="207">
        <f>SUM(AF21:AG21)</f>
        <v>0</v>
      </c>
      <c r="P21" s="207">
        <f>TRUNC(IF(AE21=0,0,IF(AE21&lt;=1650,1650,IF(AE21&gt;=15000,15000,AE21)))*SFRate+0.5)</f>
        <v>0</v>
      </c>
      <c r="Q21" s="207"/>
      <c r="R21" s="130"/>
      <c r="S21" s="207">
        <f>SUM(O21:R21)</f>
        <v>0</v>
      </c>
      <c r="T21" s="207">
        <f>N21-S21</f>
        <v>0</v>
      </c>
      <c r="U21" s="132"/>
      <c r="V21" s="132"/>
      <c r="W21" s="132"/>
      <c r="X21" s="132"/>
      <c r="Y21" s="132"/>
      <c r="Z21" s="132"/>
      <c r="AA21" s="132"/>
      <c r="AB21" s="132"/>
      <c r="AC21" s="132"/>
      <c r="AE21" s="207">
        <f t="shared" si="1"/>
        <v>0</v>
      </c>
      <c r="AF21" s="132"/>
      <c r="AG21" s="132"/>
    </row>
    <row r="22" spans="1:33" s="133" customFormat="1" ht="11.25" customHeight="1">
      <c r="A22" s="123"/>
      <c r="B22" s="202"/>
      <c r="C22" s="200"/>
      <c r="D22" s="200"/>
      <c r="E22" s="200"/>
      <c r="F22" s="128"/>
      <c r="G22" s="129"/>
      <c r="H22" s="130"/>
      <c r="I22" s="130"/>
      <c r="J22" s="129"/>
      <c r="K22" s="129"/>
      <c r="L22" s="129"/>
      <c r="M22" s="130"/>
      <c r="N22" s="207">
        <f>SUM(F22:M22)</f>
        <v>0</v>
      </c>
      <c r="O22" s="207">
        <f>SUM(AF22:AG22)</f>
        <v>0</v>
      </c>
      <c r="P22" s="207">
        <f>TRUNC(IF(AE22=0,0,IF(AE22&lt;=1650,1650,IF(AE22&gt;=15000,15000,AE22)))*SFRate+0.5)</f>
        <v>0</v>
      </c>
      <c r="Q22" s="207"/>
      <c r="R22" s="130"/>
      <c r="S22" s="207">
        <f>SUM(O22:R22)</f>
        <v>0</v>
      </c>
      <c r="T22" s="207">
        <f>N22-S22</f>
        <v>0</v>
      </c>
      <c r="U22" s="132"/>
      <c r="V22" s="132"/>
      <c r="W22" s="132"/>
      <c r="X22" s="132"/>
      <c r="Y22" s="132"/>
      <c r="Z22" s="132"/>
      <c r="AA22" s="132"/>
      <c r="AB22" s="132"/>
      <c r="AC22" s="132"/>
      <c r="AE22" s="207">
        <f t="shared" si="1"/>
        <v>0</v>
      </c>
      <c r="AF22" s="132"/>
      <c r="AG22" s="132"/>
    </row>
    <row r="23" spans="1:33" s="133" customFormat="1" ht="11.25" customHeight="1">
      <c r="A23" s="123"/>
      <c r="B23" s="202"/>
      <c r="C23" s="200"/>
      <c r="D23" s="200"/>
      <c r="E23" s="200"/>
      <c r="F23" s="128"/>
      <c r="G23" s="129"/>
      <c r="H23" s="130"/>
      <c r="I23" s="130"/>
      <c r="J23" s="129"/>
      <c r="K23" s="129"/>
      <c r="L23" s="129"/>
      <c r="M23" s="130"/>
      <c r="N23" s="207">
        <f>SUM(F23:M23)</f>
        <v>0</v>
      </c>
      <c r="O23" s="207">
        <f>SUM(AF23:AG23)</f>
        <v>0</v>
      </c>
      <c r="P23" s="207">
        <f>TRUNC(IF(AE23=0,0,IF(AE23&lt;=1650,1650,IF(AE23&gt;=15000,15000,AE23)))*SFRate+0.5)</f>
        <v>0</v>
      </c>
      <c r="Q23" s="207"/>
      <c r="R23" s="130"/>
      <c r="S23" s="207">
        <f>SUM(O23:R23)</f>
        <v>0</v>
      </c>
      <c r="T23" s="207">
        <f>N23-S23</f>
        <v>0</v>
      </c>
      <c r="U23" s="132"/>
      <c r="V23" s="132"/>
      <c r="W23" s="132"/>
      <c r="X23" s="132"/>
      <c r="Y23" s="132"/>
      <c r="Z23" s="132"/>
      <c r="AA23" s="132"/>
      <c r="AB23" s="132"/>
      <c r="AC23" s="132"/>
      <c r="AE23" s="207">
        <f t="shared" si="1"/>
        <v>0</v>
      </c>
      <c r="AF23" s="132"/>
      <c r="AG23" s="132"/>
    </row>
    <row r="24" spans="1:33" s="133" customFormat="1" ht="11.25" customHeight="1">
      <c r="A24" s="123"/>
      <c r="B24" s="202"/>
      <c r="C24" s="200"/>
      <c r="D24" s="200"/>
      <c r="E24" s="200"/>
      <c r="F24" s="128"/>
      <c r="G24" s="129"/>
      <c r="H24" s="130"/>
      <c r="I24" s="130"/>
      <c r="J24" s="129"/>
      <c r="K24" s="129"/>
      <c r="L24" s="129"/>
      <c r="M24" s="130"/>
      <c r="N24" s="207"/>
      <c r="O24" s="207"/>
      <c r="P24" s="207"/>
      <c r="Q24" s="207"/>
      <c r="R24" s="130"/>
      <c r="S24" s="207"/>
      <c r="T24" s="207"/>
      <c r="U24" s="132"/>
      <c r="V24" s="132"/>
      <c r="W24" s="132"/>
      <c r="X24" s="132"/>
      <c r="Y24" s="132"/>
      <c r="Z24" s="132"/>
      <c r="AA24" s="132"/>
      <c r="AB24" s="132"/>
      <c r="AC24" s="132"/>
      <c r="AE24" s="207">
        <f t="shared" si="1"/>
        <v>0</v>
      </c>
      <c r="AF24" s="132"/>
      <c r="AG24" s="132"/>
    </row>
    <row r="25" spans="1:33" s="133" customFormat="1" ht="15" customHeight="1" thickBot="1">
      <c r="A25" s="166"/>
      <c r="B25" s="167"/>
      <c r="C25" s="168"/>
      <c r="D25" s="169"/>
      <c r="E25" s="170"/>
      <c r="F25" s="171">
        <f t="shared" ref="F25:T25" si="6">SUM(F6:F24)</f>
        <v>537070</v>
      </c>
      <c r="G25" s="171">
        <f t="shared" si="6"/>
        <v>19704</v>
      </c>
      <c r="H25" s="171">
        <f t="shared" si="6"/>
        <v>15500</v>
      </c>
      <c r="I25" s="171">
        <f t="shared" si="6"/>
        <v>12000</v>
      </c>
      <c r="J25" s="171">
        <f>SUM(J6:J24)</f>
        <v>16000</v>
      </c>
      <c r="K25" s="171">
        <f>SUM(K6:K24)</f>
        <v>24350</v>
      </c>
      <c r="L25" s="171">
        <f>SUM(L6:L24)</f>
        <v>16500</v>
      </c>
      <c r="M25" s="171">
        <f t="shared" si="6"/>
        <v>19500</v>
      </c>
      <c r="N25" s="171">
        <f t="shared" si="6"/>
        <v>660624</v>
      </c>
      <c r="O25" s="171">
        <f t="shared" si="6"/>
        <v>44842</v>
      </c>
      <c r="P25" s="171">
        <f t="shared" si="6"/>
        <v>10278</v>
      </c>
      <c r="Q25" s="171">
        <f t="shared" si="6"/>
        <v>0</v>
      </c>
      <c r="R25" s="171">
        <f t="shared" si="6"/>
        <v>0</v>
      </c>
      <c r="S25" s="171">
        <f t="shared" si="6"/>
        <v>55120</v>
      </c>
      <c r="T25" s="171">
        <f t="shared" si="6"/>
        <v>605504</v>
      </c>
      <c r="U25" s="132"/>
      <c r="V25" s="132"/>
      <c r="W25" s="132"/>
      <c r="X25" s="132"/>
      <c r="Y25" s="132"/>
      <c r="Z25" s="132"/>
      <c r="AA25" s="132"/>
      <c r="AB25" s="132"/>
    </row>
    <row r="26" spans="1:33" s="133" customFormat="1" ht="15" customHeight="1" thickTop="1">
      <c r="A26" s="172"/>
      <c r="B26" s="164"/>
      <c r="C26" s="164"/>
      <c r="D26" s="165"/>
      <c r="E26" s="165"/>
      <c r="F26" s="131"/>
      <c r="G26" s="131"/>
      <c r="H26" s="131"/>
      <c r="I26" s="131"/>
      <c r="J26" s="131"/>
      <c r="K26" s="131"/>
      <c r="L26" s="131"/>
      <c r="M26" s="173"/>
      <c r="N26" s="131"/>
      <c r="O26" s="131"/>
      <c r="P26" s="131"/>
      <c r="Q26" s="131"/>
      <c r="R26" s="131"/>
      <c r="S26" s="131"/>
      <c r="T26" s="131"/>
      <c r="U26" s="132"/>
      <c r="V26" s="132"/>
      <c r="W26" s="132"/>
      <c r="X26" s="132"/>
      <c r="Y26" s="132"/>
      <c r="Z26" s="132"/>
      <c r="AA26" s="132"/>
      <c r="AB26" s="132"/>
    </row>
  </sheetData>
  <phoneticPr fontId="27" type="noConversion"/>
  <printOptions horizontalCentered="1"/>
  <pageMargins left="0" right="0" top="0.31496062992125984" bottom="0.39370078740157483" header="0.23622047244094491" footer="0"/>
  <pageSetup paperSize="9" scale="87" fitToHeight="36" orientation="landscape" blackAndWhite="1" horizontalDpi="360" verticalDpi="360" r:id="rId1"/>
  <headerFooter alignWithMargins="0">
    <oddFooter>&amp;LPayroll detail&amp;RPage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21"/>
    <pageSetUpPr fitToPage="1"/>
  </sheetPr>
  <dimension ref="A1:AL56"/>
  <sheetViews>
    <sheetView workbookViewId="0">
      <selection activeCell="A56" sqref="A56:IV56"/>
    </sheetView>
  </sheetViews>
  <sheetFormatPr defaultRowHeight="21.75"/>
  <cols>
    <col min="1" max="1" width="6.140625" customWidth="1"/>
    <col min="2" max="2" width="33.85546875" customWidth="1"/>
    <col min="3" max="8" width="20.5703125" customWidth="1"/>
    <col min="9" max="9" width="23.85546875" customWidth="1"/>
    <col min="10" max="10" width="22.7109375" customWidth="1"/>
    <col min="11" max="13" width="19.85546875" customWidth="1"/>
    <col min="14" max="20" width="13.28515625" customWidth="1"/>
  </cols>
  <sheetData>
    <row r="1" spans="2:12" ht="83.25" customHeight="1">
      <c r="B1" s="347" t="str">
        <f>CompanyProfile!$C$2</f>
        <v>หจก.ศิวะกรเซฟตี้ จำกัด</v>
      </c>
    </row>
    <row r="2" spans="2:12" ht="31.5">
      <c r="B2" s="390" t="str">
        <f>"สรุปการจ่ายเงินเดือน  ประจำเดือน"&amp;TEXT(CompanyProfile!$C$12,"ดดดด bbbb")</f>
        <v>สรุปการจ่ายเงินเดือน  ประจำเดือนกุมภาพันธ์ 2557</v>
      </c>
    </row>
    <row r="3" spans="2:12" ht="29.25">
      <c r="B3" s="389"/>
    </row>
    <row r="4" spans="2:12" ht="22.5" thickBot="1">
      <c r="B4" s="348"/>
      <c r="C4" s="323"/>
      <c r="D4" s="323"/>
      <c r="E4" s="323"/>
      <c r="F4" s="323"/>
      <c r="I4" s="323"/>
    </row>
    <row r="5" spans="2:12" ht="30" thickTop="1">
      <c r="B5" s="324" t="s">
        <v>324</v>
      </c>
      <c r="C5" s="325" t="s">
        <v>325</v>
      </c>
      <c r="D5" s="325"/>
      <c r="E5" s="325"/>
      <c r="F5" s="325"/>
      <c r="G5" s="325"/>
      <c r="H5" s="325"/>
      <c r="I5" s="325"/>
      <c r="J5" s="325"/>
      <c r="K5" s="326" t="s">
        <v>286</v>
      </c>
    </row>
    <row r="6" spans="2:12" ht="30">
      <c r="B6" s="327"/>
      <c r="C6" s="360" t="str">
        <f>SheetData!F5</f>
        <v>เงินเดือน</v>
      </c>
      <c r="D6" s="462" t="str">
        <f>SheetData!G5</f>
        <v>ค่าล่วงเวลา</v>
      </c>
      <c r="E6" s="360" t="str">
        <f>SheetData!H5</f>
        <v>ค่าเช่าบ้าน</v>
      </c>
      <c r="F6" s="360" t="str">
        <f>SheetData!I5</f>
        <v>ค่าน้ำมัน</v>
      </c>
      <c r="G6" s="360" t="str">
        <f>SheetData!J5</f>
        <v>ค่าเบี้ยเลี้ยง</v>
      </c>
      <c r="H6" s="360" t="str">
        <f>SheetData!K5</f>
        <v>ค่าครองชีพ</v>
      </c>
      <c r="I6" s="462" t="str">
        <f>SheetData!L5</f>
        <v>โบนัส</v>
      </c>
      <c r="J6" s="360" t="str">
        <f>SheetData!M5</f>
        <v>อื่น ๆ</v>
      </c>
      <c r="K6" s="328" t="s">
        <v>325</v>
      </c>
    </row>
    <row r="7" spans="2:12" ht="33">
      <c r="B7" s="329" t="s">
        <v>445</v>
      </c>
      <c r="C7" s="330">
        <f>SUM(F51:F54)</f>
        <v>441966</v>
      </c>
      <c r="D7" s="330">
        <f t="shared" ref="D7:J7" si="0">SUM(G51:G54)</f>
        <v>16492</v>
      </c>
      <c r="E7" s="330">
        <f t="shared" si="0"/>
        <v>14000</v>
      </c>
      <c r="F7" s="330">
        <f t="shared" si="0"/>
        <v>10500</v>
      </c>
      <c r="G7" s="330">
        <f t="shared" si="0"/>
        <v>14500</v>
      </c>
      <c r="H7" s="330">
        <f t="shared" si="0"/>
        <v>22850</v>
      </c>
      <c r="I7" s="330">
        <f t="shared" si="0"/>
        <v>16500</v>
      </c>
      <c r="J7" s="330">
        <f t="shared" si="0"/>
        <v>19500</v>
      </c>
      <c r="K7" s="331">
        <f>SUM(C7:J7)</f>
        <v>556308</v>
      </c>
    </row>
    <row r="8" spans="2:12" ht="33">
      <c r="B8" s="329" t="s">
        <v>506</v>
      </c>
      <c r="C8" s="330">
        <f>F55+F56</f>
        <v>95104</v>
      </c>
      <c r="D8" s="330">
        <f t="shared" ref="D8:J8" si="1">G55+G56</f>
        <v>3212</v>
      </c>
      <c r="E8" s="330">
        <f t="shared" si="1"/>
        <v>1500</v>
      </c>
      <c r="F8" s="330">
        <f t="shared" si="1"/>
        <v>1500</v>
      </c>
      <c r="G8" s="330">
        <f t="shared" si="1"/>
        <v>1500</v>
      </c>
      <c r="H8" s="330">
        <f t="shared" si="1"/>
        <v>1500</v>
      </c>
      <c r="I8" s="330">
        <f t="shared" si="1"/>
        <v>0</v>
      </c>
      <c r="J8" s="330">
        <f t="shared" si="1"/>
        <v>0</v>
      </c>
      <c r="K8" s="331">
        <f>SUM(C8:J8)</f>
        <v>104316</v>
      </c>
    </row>
    <row r="9" spans="2:12" ht="33.75" thickBot="1">
      <c r="B9" s="329"/>
      <c r="C9" s="330"/>
      <c r="D9" s="330"/>
      <c r="E9" s="330"/>
      <c r="F9" s="330"/>
      <c r="G9" s="330"/>
      <c r="H9" s="330"/>
      <c r="I9" s="330"/>
      <c r="J9" s="330"/>
      <c r="K9" s="683">
        <f>SUM(C9:J9)</f>
        <v>0</v>
      </c>
    </row>
    <row r="10" spans="2:12" ht="33" thickTop="1" thickBot="1">
      <c r="B10" s="332" t="s">
        <v>210</v>
      </c>
      <c r="C10" s="333">
        <f t="shared" ref="C10:K10" si="2">SUM(C7:C9)</f>
        <v>537070</v>
      </c>
      <c r="D10" s="333">
        <f t="shared" si="2"/>
        <v>19704</v>
      </c>
      <c r="E10" s="333">
        <f t="shared" si="2"/>
        <v>15500</v>
      </c>
      <c r="F10" s="333">
        <f t="shared" si="2"/>
        <v>12000</v>
      </c>
      <c r="G10" s="333">
        <f t="shared" si="2"/>
        <v>16000</v>
      </c>
      <c r="H10" s="333">
        <f t="shared" si="2"/>
        <v>24350</v>
      </c>
      <c r="I10" s="333">
        <f t="shared" si="2"/>
        <v>16500</v>
      </c>
      <c r="J10" s="333">
        <f t="shared" si="2"/>
        <v>19500</v>
      </c>
      <c r="K10" s="334">
        <f t="shared" si="2"/>
        <v>660624</v>
      </c>
    </row>
    <row r="11" spans="2:12" ht="39" customHeight="1" thickTop="1"/>
    <row r="12" spans="2:12" ht="22.5" thickBot="1">
      <c r="C12" s="335"/>
      <c r="D12" s="335"/>
      <c r="E12" s="335"/>
      <c r="F12" s="335"/>
      <c r="G12" s="335"/>
      <c r="H12" s="335"/>
      <c r="I12" s="335"/>
    </row>
    <row r="13" spans="2:12" ht="30" thickTop="1">
      <c r="B13" s="324" t="s">
        <v>324</v>
      </c>
      <c r="C13" s="325" t="s">
        <v>179</v>
      </c>
      <c r="D13" s="325"/>
      <c r="E13" s="325"/>
      <c r="F13" s="325"/>
      <c r="G13" s="325"/>
      <c r="H13" s="325"/>
      <c r="I13" s="325"/>
      <c r="J13" s="325"/>
      <c r="K13" s="326" t="s">
        <v>286</v>
      </c>
      <c r="L13" s="326" t="s">
        <v>326</v>
      </c>
    </row>
    <row r="14" spans="2:12" ht="30">
      <c r="B14" s="327"/>
      <c r="C14" s="361" t="str">
        <f>SheetData!O5</f>
        <v>ภาษีหัก ณ ที่จ่าย</v>
      </c>
      <c r="D14" s="361" t="str">
        <f>SheetData!P5</f>
        <v>ประกันสังคม</v>
      </c>
      <c r="E14" s="361" t="str">
        <f>SheetData!Q5</f>
        <v>สำรองเลี้ยงชีพ</v>
      </c>
      <c r="F14" s="336"/>
      <c r="G14" s="336"/>
      <c r="H14" s="336"/>
      <c r="I14" s="337"/>
      <c r="J14" s="362" t="str">
        <f>SheetData!R5</f>
        <v>อื่น ๆ</v>
      </c>
      <c r="K14" s="328" t="s">
        <v>179</v>
      </c>
      <c r="L14" s="338"/>
    </row>
    <row r="15" spans="2:12" ht="33">
      <c r="B15" s="329" t="s">
        <v>445</v>
      </c>
      <c r="C15" s="330">
        <f>SUM(O51:O54)</f>
        <v>43567</v>
      </c>
      <c r="D15" s="330">
        <f>SUM(P51:P54)</f>
        <v>5640</v>
      </c>
      <c r="E15" s="330">
        <f>SUM(Q51:Q54)</f>
        <v>0</v>
      </c>
      <c r="F15" s="330"/>
      <c r="G15" s="330"/>
      <c r="H15" s="330"/>
      <c r="J15" s="339">
        <f>SUM(R51:R54)</f>
        <v>0</v>
      </c>
      <c r="K15" s="331">
        <f>SUM(C15:J15)</f>
        <v>49207</v>
      </c>
      <c r="L15" s="331">
        <f>+K7-K15</f>
        <v>507101</v>
      </c>
    </row>
    <row r="16" spans="2:12" ht="33">
      <c r="B16" s="329" t="s">
        <v>506</v>
      </c>
      <c r="C16" s="330">
        <f>SUM(O55:O56)</f>
        <v>1275</v>
      </c>
      <c r="D16" s="330">
        <f>SUM(P55:P56)</f>
        <v>2582</v>
      </c>
      <c r="E16" s="330">
        <f>SUM(Q55:Q56)</f>
        <v>0</v>
      </c>
      <c r="F16" s="330"/>
      <c r="G16" s="330"/>
      <c r="H16" s="330"/>
      <c r="J16" s="339">
        <f>SUM(R55:R56)</f>
        <v>0</v>
      </c>
      <c r="K16" s="331">
        <f>SUM(C16:J16)</f>
        <v>3857</v>
      </c>
      <c r="L16" s="331">
        <f>+K8-K16</f>
        <v>100459</v>
      </c>
    </row>
    <row r="17" spans="2:12" ht="33.75" thickBot="1">
      <c r="B17" s="329"/>
      <c r="C17" s="330"/>
      <c r="D17" s="330"/>
      <c r="E17" s="330"/>
      <c r="F17" s="330"/>
      <c r="G17" s="330"/>
      <c r="H17" s="330"/>
      <c r="J17" s="339"/>
      <c r="K17" s="331">
        <f>SUM(C17:J17)</f>
        <v>0</v>
      </c>
      <c r="L17" s="331">
        <f>+K9-K17</f>
        <v>0</v>
      </c>
    </row>
    <row r="18" spans="2:12" ht="33" thickTop="1" thickBot="1">
      <c r="B18" s="332" t="s">
        <v>210</v>
      </c>
      <c r="C18" s="333">
        <f>SUM(C15:C17)</f>
        <v>44842</v>
      </c>
      <c r="D18" s="333">
        <f>SUM(D15:D17)</f>
        <v>8222</v>
      </c>
      <c r="E18" s="333">
        <f>SUM(E15:E17)</f>
        <v>0</v>
      </c>
      <c r="F18" s="333">
        <f>SUM(F15:F17)</f>
        <v>0</v>
      </c>
      <c r="G18" s="333">
        <f t="shared" ref="G18:L18" si="3">SUM(G15:G17)</f>
        <v>0</v>
      </c>
      <c r="H18" s="333">
        <f t="shared" si="3"/>
        <v>0</v>
      </c>
      <c r="I18" s="333">
        <f t="shared" si="3"/>
        <v>0</v>
      </c>
      <c r="J18" s="333">
        <f t="shared" si="3"/>
        <v>0</v>
      </c>
      <c r="K18" s="334">
        <f t="shared" si="3"/>
        <v>53064</v>
      </c>
      <c r="L18" s="334">
        <f t="shared" si="3"/>
        <v>607560</v>
      </c>
    </row>
    <row r="19" spans="2:12" ht="22.5" thickTop="1">
      <c r="J19" s="340"/>
    </row>
    <row r="25" spans="2:12" ht="26.25">
      <c r="B25" s="388"/>
      <c r="C25" s="341"/>
      <c r="D25" s="387"/>
      <c r="E25" s="387"/>
      <c r="F25" s="343"/>
      <c r="G25" s="341" t="s">
        <v>327</v>
      </c>
      <c r="H25" s="342"/>
      <c r="I25" s="342"/>
    </row>
    <row r="26" spans="2:12" ht="36" customHeight="1">
      <c r="B26" s="388"/>
      <c r="C26" s="344"/>
      <c r="D26" s="345"/>
      <c r="E26" s="345"/>
      <c r="F26" s="345"/>
      <c r="G26" s="344"/>
      <c r="H26" s="743" t="s">
        <v>505</v>
      </c>
      <c r="I26" s="743"/>
    </row>
    <row r="27" spans="2:12" ht="26.25">
      <c r="B27" s="388"/>
      <c r="C27" s="344"/>
      <c r="D27" s="346"/>
      <c r="E27" s="346"/>
      <c r="F27" s="346"/>
      <c r="G27" s="344"/>
      <c r="H27" s="744" t="s">
        <v>504</v>
      </c>
      <c r="I27" s="744"/>
    </row>
    <row r="28" spans="2:12">
      <c r="B28" s="388"/>
      <c r="C28" s="388"/>
      <c r="D28" s="388"/>
      <c r="E28" s="388"/>
      <c r="F28" s="388"/>
    </row>
    <row r="48" spans="1:38" s="630" customFormat="1">
      <c r="A48" s="619" t="s">
        <v>123</v>
      </c>
      <c r="B48" s="620" t="s">
        <v>180</v>
      </c>
      <c r="C48" s="621" t="s">
        <v>185</v>
      </c>
      <c r="D48" s="622" t="s">
        <v>80</v>
      </c>
      <c r="E48" s="623" t="s">
        <v>184</v>
      </c>
      <c r="F48" s="624" t="s">
        <v>178</v>
      </c>
      <c r="G48" s="625"/>
      <c r="H48" s="625"/>
      <c r="I48" s="625"/>
      <c r="J48" s="625"/>
      <c r="K48" s="625"/>
      <c r="L48" s="625"/>
      <c r="M48" s="625"/>
      <c r="N48" s="625"/>
      <c r="O48" s="625" t="s">
        <v>179</v>
      </c>
      <c r="P48" s="625"/>
      <c r="Q48" s="625"/>
      <c r="R48" s="625"/>
      <c r="S48" s="625"/>
      <c r="T48" s="626" t="s">
        <v>56</v>
      </c>
      <c r="U48" s="627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 s="629"/>
      <c r="AL48" s="629"/>
    </row>
    <row r="49" spans="1:38" s="642" customFormat="1">
      <c r="A49" s="631" t="s">
        <v>129</v>
      </c>
      <c r="B49" s="632"/>
      <c r="C49" s="633" t="s">
        <v>186</v>
      </c>
      <c r="D49" s="634"/>
      <c r="E49" s="635"/>
      <c r="F49" s="636" t="s">
        <v>321</v>
      </c>
      <c r="G49" s="637" t="s">
        <v>51</v>
      </c>
      <c r="H49" s="637" t="s">
        <v>425</v>
      </c>
      <c r="I49" s="637" t="s">
        <v>426</v>
      </c>
      <c r="J49" s="637" t="s">
        <v>454</v>
      </c>
      <c r="K49" s="637" t="s">
        <v>455</v>
      </c>
      <c r="L49" s="637" t="s">
        <v>369</v>
      </c>
      <c r="M49" s="637" t="s">
        <v>55</v>
      </c>
      <c r="N49" s="637" t="s">
        <v>60</v>
      </c>
      <c r="O49" s="637" t="s">
        <v>181</v>
      </c>
      <c r="P49" s="637" t="s">
        <v>58</v>
      </c>
      <c r="Q49" s="637" t="s">
        <v>183</v>
      </c>
      <c r="R49" s="637" t="s">
        <v>55</v>
      </c>
      <c r="S49" s="637" t="s">
        <v>322</v>
      </c>
      <c r="T49" s="638"/>
      <c r="U49" s="63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 s="641"/>
      <c r="AL49" s="641"/>
    </row>
    <row r="50" spans="1:38" s="133" customFormat="1" ht="22.5" thickBot="1">
      <c r="A50" s="445"/>
      <c r="B50" s="446"/>
      <c r="C50" s="446"/>
      <c r="D50" s="447" t="s">
        <v>197</v>
      </c>
      <c r="E50" s="448"/>
      <c r="F50" s="449">
        <v>537070</v>
      </c>
      <c r="G50" s="449">
        <v>19704</v>
      </c>
      <c r="H50" s="449">
        <v>15500</v>
      </c>
      <c r="I50" s="449">
        <v>12000</v>
      </c>
      <c r="J50" s="449">
        <v>16000</v>
      </c>
      <c r="K50" s="449">
        <v>24350</v>
      </c>
      <c r="L50" s="449">
        <v>16500</v>
      </c>
      <c r="M50" s="449">
        <v>19500</v>
      </c>
      <c r="N50" s="449">
        <v>660624</v>
      </c>
      <c r="O50" s="449">
        <v>44842</v>
      </c>
      <c r="P50" s="449">
        <v>8222</v>
      </c>
      <c r="Q50" s="449">
        <v>0</v>
      </c>
      <c r="R50" s="450">
        <v>0</v>
      </c>
      <c r="S50" s="450">
        <v>53064</v>
      </c>
      <c r="T50" s="450">
        <v>607560</v>
      </c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 s="132"/>
      <c r="AL50" s="132"/>
    </row>
    <row r="51" spans="1:38" s="285" customFormat="1" ht="22.5" thickTop="1">
      <c r="B51" s="285" t="s">
        <v>492</v>
      </c>
      <c r="D51" s="285" t="s">
        <v>198</v>
      </c>
      <c r="F51" s="285">
        <v>151310</v>
      </c>
      <c r="G51" s="285">
        <v>9404</v>
      </c>
      <c r="H51" s="285">
        <v>6500</v>
      </c>
      <c r="I51" s="285">
        <v>6000</v>
      </c>
      <c r="J51" s="285">
        <v>6500</v>
      </c>
      <c r="K51" s="285">
        <v>12850</v>
      </c>
      <c r="L51" s="285">
        <v>6000</v>
      </c>
      <c r="M51" s="285">
        <v>7000</v>
      </c>
      <c r="N51" s="285">
        <v>205564</v>
      </c>
      <c r="O51" s="285">
        <v>13154</v>
      </c>
      <c r="P51" s="285">
        <v>2400</v>
      </c>
      <c r="Q51" s="285">
        <v>0</v>
      </c>
      <c r="R51" s="285">
        <v>0</v>
      </c>
      <c r="S51" s="285">
        <v>15554</v>
      </c>
      <c r="T51" s="285">
        <v>190010</v>
      </c>
    </row>
    <row r="52" spans="1:38" s="285" customFormat="1">
      <c r="B52" s="285" t="s">
        <v>491</v>
      </c>
      <c r="D52" s="285" t="s">
        <v>198</v>
      </c>
      <c r="F52" s="285">
        <v>150000</v>
      </c>
      <c r="G52" s="285">
        <v>1500</v>
      </c>
      <c r="H52" s="285">
        <v>2500</v>
      </c>
      <c r="I52" s="285">
        <v>1500</v>
      </c>
      <c r="J52" s="285">
        <v>2500</v>
      </c>
      <c r="K52" s="285">
        <v>3500</v>
      </c>
      <c r="L52" s="285">
        <v>4500</v>
      </c>
      <c r="M52" s="285">
        <v>5500</v>
      </c>
      <c r="N52" s="285">
        <v>171500</v>
      </c>
      <c r="O52" s="285">
        <v>24339</v>
      </c>
      <c r="P52" s="285">
        <v>600</v>
      </c>
      <c r="Q52" s="285">
        <v>0</v>
      </c>
      <c r="R52" s="285">
        <v>0</v>
      </c>
      <c r="S52" s="285">
        <v>24939</v>
      </c>
      <c r="T52" s="285">
        <v>146561</v>
      </c>
    </row>
    <row r="53" spans="1:38" s="285" customFormat="1">
      <c r="B53" s="285" t="s">
        <v>494</v>
      </c>
      <c r="D53" s="285" t="s">
        <v>198</v>
      </c>
      <c r="F53" s="285">
        <v>105656</v>
      </c>
      <c r="G53" s="285">
        <v>4588</v>
      </c>
      <c r="H53" s="285">
        <v>3000</v>
      </c>
      <c r="I53" s="285">
        <v>0</v>
      </c>
      <c r="J53" s="285">
        <v>1500</v>
      </c>
      <c r="K53" s="285">
        <v>1500</v>
      </c>
      <c r="L53" s="285">
        <v>0</v>
      </c>
      <c r="M53" s="285">
        <v>0</v>
      </c>
      <c r="N53" s="285">
        <v>116244</v>
      </c>
      <c r="O53" s="285">
        <v>2584</v>
      </c>
      <c r="P53" s="285">
        <v>2040</v>
      </c>
      <c r="Q53" s="285">
        <v>0</v>
      </c>
      <c r="R53" s="285">
        <v>0</v>
      </c>
      <c r="S53" s="285">
        <v>4624</v>
      </c>
      <c r="T53" s="285">
        <v>111620</v>
      </c>
    </row>
    <row r="54" spans="1:38" s="285" customFormat="1">
      <c r="B54" s="285" t="s">
        <v>493</v>
      </c>
      <c r="D54" s="285" t="s">
        <v>198</v>
      </c>
      <c r="F54" s="285">
        <v>35000</v>
      </c>
      <c r="G54" s="285">
        <v>1000</v>
      </c>
      <c r="H54" s="285">
        <v>2000</v>
      </c>
      <c r="I54" s="285">
        <v>3000</v>
      </c>
      <c r="J54" s="285">
        <v>4000</v>
      </c>
      <c r="K54" s="285">
        <v>5000</v>
      </c>
      <c r="L54" s="285">
        <v>6000</v>
      </c>
      <c r="M54" s="285">
        <v>7000</v>
      </c>
      <c r="N54" s="285">
        <v>63000</v>
      </c>
      <c r="O54" s="285">
        <v>3490</v>
      </c>
      <c r="P54" s="285">
        <v>600</v>
      </c>
      <c r="Q54" s="285">
        <v>0</v>
      </c>
      <c r="R54" s="285">
        <v>0</v>
      </c>
      <c r="S54" s="285">
        <v>4090</v>
      </c>
      <c r="T54" s="285">
        <v>58910</v>
      </c>
    </row>
    <row r="55" spans="1:38" s="285" customFormat="1">
      <c r="B55" s="285" t="s">
        <v>508</v>
      </c>
      <c r="D55" s="285" t="s">
        <v>198</v>
      </c>
      <c r="F55" s="285">
        <v>35550</v>
      </c>
      <c r="G55" s="285">
        <v>2356</v>
      </c>
      <c r="H55" s="285">
        <v>1500</v>
      </c>
      <c r="I55" s="285">
        <v>1500</v>
      </c>
      <c r="J55" s="285">
        <v>1500</v>
      </c>
      <c r="K55" s="285">
        <v>1500</v>
      </c>
      <c r="L55" s="285">
        <v>0</v>
      </c>
      <c r="M55" s="285">
        <v>0</v>
      </c>
      <c r="N55" s="285">
        <v>43906</v>
      </c>
      <c r="O55" s="285">
        <v>0</v>
      </c>
      <c r="P55" s="285">
        <v>1200</v>
      </c>
      <c r="Q55" s="285">
        <v>0</v>
      </c>
      <c r="R55" s="285">
        <v>0</v>
      </c>
      <c r="S55" s="285">
        <v>1200</v>
      </c>
      <c r="T55" s="285">
        <v>42706</v>
      </c>
    </row>
    <row r="56" spans="1:38" s="285" customFormat="1">
      <c r="B56" s="285" t="s">
        <v>507</v>
      </c>
      <c r="D56" s="285" t="s">
        <v>198</v>
      </c>
      <c r="F56" s="285">
        <v>59554</v>
      </c>
      <c r="G56" s="285">
        <v>856</v>
      </c>
      <c r="H56" s="285">
        <v>0</v>
      </c>
      <c r="I56" s="285">
        <v>0</v>
      </c>
      <c r="J56" s="285">
        <v>0</v>
      </c>
      <c r="K56" s="285">
        <v>0</v>
      </c>
      <c r="L56" s="285">
        <v>0</v>
      </c>
      <c r="M56" s="285">
        <v>0</v>
      </c>
      <c r="N56" s="285">
        <v>60410</v>
      </c>
      <c r="O56" s="285">
        <v>1275</v>
      </c>
      <c r="P56" s="285">
        <v>1382</v>
      </c>
      <c r="Q56" s="285">
        <v>0</v>
      </c>
      <c r="R56" s="285">
        <v>0</v>
      </c>
      <c r="S56" s="285">
        <v>2657</v>
      </c>
      <c r="T56" s="285">
        <v>57753</v>
      </c>
    </row>
  </sheetData>
  <mergeCells count="2">
    <mergeCell ref="H26:I26"/>
    <mergeCell ref="H27:I27"/>
  </mergeCells>
  <phoneticPr fontId="27" type="noConversion"/>
  <printOptions horizontalCentered="1" verticalCentered="1"/>
  <pageMargins left="0.79" right="0.47244094488188981" top="0.43307086614173229" bottom="0.23622047244094491" header="0.15748031496062992" footer="0"/>
  <pageSetup paperSize="9" scale="58" fitToHeight="8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2311" enableFormatConditionsCalculation="0">
    <tabColor indexed="21"/>
    <pageSetUpPr fitToPage="1"/>
  </sheetPr>
  <dimension ref="A1:AL1000"/>
  <sheetViews>
    <sheetView showGridLines="0" workbookViewId="0">
      <selection activeCell="A42" sqref="A42:IV42"/>
    </sheetView>
  </sheetViews>
  <sheetFormatPr defaultRowHeight="21.75"/>
  <cols>
    <col min="1" max="1" width="4.85546875" style="668" customWidth="1"/>
    <col min="2" max="2" width="6.7109375" style="668" customWidth="1"/>
    <col min="3" max="3" width="5.5703125" style="668" bestFit="1" customWidth="1"/>
    <col min="4" max="4" width="10.140625" style="668" bestFit="1" customWidth="1"/>
    <col min="5" max="5" width="15.7109375" style="668" bestFit="1" customWidth="1"/>
    <col min="6" max="6" width="11.5703125" style="668" bestFit="1" customWidth="1"/>
    <col min="7" max="7" width="10.5703125" style="668" bestFit="1" customWidth="1"/>
    <col min="8" max="11" width="11" style="668" customWidth="1"/>
    <col min="12" max="12" width="11.28515625" style="668" customWidth="1"/>
    <col min="13" max="13" width="11.42578125" style="668" customWidth="1"/>
    <col min="14" max="14" width="11.5703125" style="668" bestFit="1" customWidth="1"/>
    <col min="15" max="15" width="9.28515625" style="668" customWidth="1"/>
    <col min="16" max="16" width="9.140625" style="668"/>
    <col min="17" max="19" width="9.85546875" style="668" customWidth="1"/>
    <col min="20" max="20" width="12.42578125" style="668" customWidth="1"/>
    <col min="21" max="21" width="11.5703125" style="668" customWidth="1"/>
    <col min="22" max="23" width="9.85546875" style="668" customWidth="1"/>
    <col min="24" max="24" width="6.5703125" style="668" customWidth="1"/>
    <col min="25" max="25" width="12.42578125" style="668" customWidth="1"/>
    <col min="26" max="26" width="11.5703125" style="668" customWidth="1"/>
    <col min="27" max="28" width="9.85546875" style="668" customWidth="1"/>
    <col min="29" max="16384" width="9.140625" style="668"/>
  </cols>
  <sheetData>
    <row r="1" spans="1:38" s="141" customFormat="1" ht="14.25">
      <c r="A1" s="139" t="s">
        <v>370</v>
      </c>
      <c r="B1" s="140"/>
      <c r="C1" s="140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</row>
    <row r="2" spans="1:38" s="141" customFormat="1" ht="14.25">
      <c r="A2" s="143" t="s">
        <v>545</v>
      </c>
      <c r="B2" s="140"/>
      <c r="C2" s="140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4"/>
      <c r="S2" s="142"/>
      <c r="T2" s="144">
        <v>41348</v>
      </c>
      <c r="U2" s="145"/>
      <c r="V2" s="145"/>
      <c r="W2" s="145"/>
      <c r="X2" s="145"/>
      <c r="Y2" s="145"/>
      <c r="Z2" s="145"/>
      <c r="AA2" s="145"/>
      <c r="AB2" s="145"/>
      <c r="AC2" s="146"/>
      <c r="AD2" s="146"/>
      <c r="AE2" s="146"/>
      <c r="AF2" s="146"/>
      <c r="AG2" s="146"/>
      <c r="AH2" s="146"/>
      <c r="AI2" s="146"/>
      <c r="AJ2" s="146"/>
      <c r="AK2" s="146"/>
    </row>
    <row r="3" spans="1:38" s="141" customFormat="1" ht="14.25">
      <c r="A3" s="139" t="s">
        <v>495</v>
      </c>
      <c r="B3" s="140"/>
      <c r="C3" s="140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</row>
    <row r="4" spans="1:38" s="156" customFormat="1" ht="18" customHeight="1">
      <c r="A4" s="147" t="s">
        <v>123</v>
      </c>
      <c r="B4" s="148" t="s">
        <v>180</v>
      </c>
      <c r="C4" s="149" t="s">
        <v>185</v>
      </c>
      <c r="D4" s="150" t="s">
        <v>80</v>
      </c>
      <c r="E4" s="151" t="s">
        <v>184</v>
      </c>
      <c r="F4" s="152" t="s">
        <v>178</v>
      </c>
      <c r="G4" s="153"/>
      <c r="H4" s="153"/>
      <c r="I4" s="153"/>
      <c r="J4" s="153"/>
      <c r="K4" s="153"/>
      <c r="L4" s="153"/>
      <c r="M4" s="153"/>
      <c r="N4" s="153"/>
      <c r="O4" s="153" t="s">
        <v>179</v>
      </c>
      <c r="P4" s="153"/>
      <c r="Q4" s="153"/>
      <c r="R4" s="153"/>
      <c r="S4" s="153"/>
      <c r="T4" s="154" t="s">
        <v>56</v>
      </c>
      <c r="U4" s="155"/>
      <c r="V4" s="155"/>
      <c r="W4" s="155"/>
      <c r="X4" s="155"/>
      <c r="Y4" s="155"/>
      <c r="Z4" s="155"/>
      <c r="AA4" s="155"/>
      <c r="AB4" s="155"/>
      <c r="AC4" s="157"/>
      <c r="AE4" s="309"/>
      <c r="AF4" s="309"/>
      <c r="AG4" s="309"/>
      <c r="AH4" s="157"/>
      <c r="AI4" s="157"/>
      <c r="AJ4" s="157"/>
      <c r="AK4" s="157"/>
      <c r="AL4" s="157"/>
    </row>
    <row r="5" spans="1:38" s="682" customFormat="1" ht="11.25">
      <c r="A5" s="673" t="s">
        <v>129</v>
      </c>
      <c r="B5" s="674"/>
      <c r="C5" s="675" t="s">
        <v>186</v>
      </c>
      <c r="D5" s="676"/>
      <c r="E5" s="677"/>
      <c r="F5" s="678" t="s">
        <v>321</v>
      </c>
      <c r="G5" s="679" t="s">
        <v>51</v>
      </c>
      <c r="H5" s="679" t="s">
        <v>425</v>
      </c>
      <c r="I5" s="679" t="s">
        <v>426</v>
      </c>
      <c r="J5" s="679" t="s">
        <v>519</v>
      </c>
      <c r="K5" s="679" t="s">
        <v>455</v>
      </c>
      <c r="L5" s="679" t="s">
        <v>369</v>
      </c>
      <c r="M5" s="679" t="s">
        <v>55</v>
      </c>
      <c r="N5" s="679" t="s">
        <v>60</v>
      </c>
      <c r="O5" s="679" t="s">
        <v>181</v>
      </c>
      <c r="P5" s="679" t="s">
        <v>58</v>
      </c>
      <c r="Q5" s="679" t="s">
        <v>183</v>
      </c>
      <c r="R5" s="679" t="s">
        <v>55</v>
      </c>
      <c r="S5" s="679" t="s">
        <v>322</v>
      </c>
      <c r="T5" s="680"/>
      <c r="U5" s="681"/>
      <c r="V5" s="681"/>
      <c r="W5" s="681"/>
      <c r="X5" s="681"/>
      <c r="Y5" s="681"/>
      <c r="Z5" s="681"/>
      <c r="AA5" s="681"/>
      <c r="AB5" s="681"/>
      <c r="AE5" s="667"/>
      <c r="AF5" s="667"/>
      <c r="AG5" s="667"/>
    </row>
    <row r="6" spans="1:38" s="653" customFormat="1" ht="11.25" customHeight="1">
      <c r="A6" s="643">
        <v>1</v>
      </c>
      <c r="B6" s="644">
        <v>1002</v>
      </c>
      <c r="C6" s="645" t="s">
        <v>427</v>
      </c>
      <c r="D6" s="646" t="s">
        <v>430</v>
      </c>
      <c r="E6" s="647" t="s">
        <v>464</v>
      </c>
      <c r="F6" s="648">
        <v>85000</v>
      </c>
      <c r="G6" s="649">
        <v>1000</v>
      </c>
      <c r="H6" s="650">
        <v>2000</v>
      </c>
      <c r="I6" s="650">
        <v>3000</v>
      </c>
      <c r="J6" s="650">
        <v>4000</v>
      </c>
      <c r="K6" s="650">
        <v>5000</v>
      </c>
      <c r="L6" s="650">
        <v>6000</v>
      </c>
      <c r="M6" s="650">
        <v>7000</v>
      </c>
      <c r="N6" s="650">
        <v>113000</v>
      </c>
      <c r="O6" s="651">
        <v>11072</v>
      </c>
      <c r="P6" s="650">
        <v>600</v>
      </c>
      <c r="Q6" s="650"/>
      <c r="R6" s="650"/>
      <c r="S6" s="650">
        <v>11672</v>
      </c>
      <c r="T6" s="650">
        <v>101328</v>
      </c>
      <c r="U6" s="652"/>
      <c r="V6" s="652"/>
      <c r="W6" s="652"/>
      <c r="X6" s="652"/>
      <c r="Z6" s="652"/>
      <c r="AA6" s="564"/>
      <c r="AB6" s="564"/>
      <c r="AC6" s="564"/>
      <c r="AD6" s="564"/>
      <c r="AE6" s="564"/>
      <c r="AF6" s="564"/>
      <c r="AG6" s="564"/>
      <c r="AH6" s="564"/>
      <c r="AI6" s="564"/>
    </row>
    <row r="7" spans="1:38" s="653" customFormat="1" ht="11.25" customHeight="1">
      <c r="A7" s="643">
        <v>2</v>
      </c>
      <c r="B7" s="644">
        <v>1010</v>
      </c>
      <c r="C7" s="645" t="s">
        <v>427</v>
      </c>
      <c r="D7" s="646" t="s">
        <v>438</v>
      </c>
      <c r="E7" s="647" t="s">
        <v>472</v>
      </c>
      <c r="F7" s="648">
        <v>32760</v>
      </c>
      <c r="G7" s="649">
        <v>850</v>
      </c>
      <c r="H7" s="650">
        <v>3000</v>
      </c>
      <c r="I7" s="650">
        <v>1500</v>
      </c>
      <c r="J7" s="650">
        <v>2500</v>
      </c>
      <c r="K7" s="650">
        <v>7850</v>
      </c>
      <c r="L7" s="650"/>
      <c r="M7" s="650"/>
      <c r="N7" s="650">
        <v>48460</v>
      </c>
      <c r="O7" s="651">
        <v>2045</v>
      </c>
      <c r="P7" s="650">
        <v>600</v>
      </c>
      <c r="Q7" s="650"/>
      <c r="R7" s="650"/>
      <c r="S7" s="650">
        <v>2645</v>
      </c>
      <c r="T7" s="650">
        <v>45815</v>
      </c>
      <c r="U7" s="652"/>
      <c r="V7" s="652"/>
      <c r="W7" s="652"/>
      <c r="X7" s="652"/>
      <c r="Z7" s="652"/>
      <c r="AA7" s="564"/>
      <c r="AB7" s="564"/>
      <c r="AC7" s="564"/>
      <c r="AD7" s="564"/>
      <c r="AE7" s="564"/>
      <c r="AF7" s="564"/>
      <c r="AG7" s="564"/>
      <c r="AH7" s="564"/>
      <c r="AI7" s="564"/>
    </row>
    <row r="8" spans="1:38" s="653" customFormat="1" ht="11.25" customHeight="1">
      <c r="A8" s="643">
        <v>3</v>
      </c>
      <c r="B8" s="644">
        <v>1014</v>
      </c>
      <c r="C8" s="645" t="s">
        <v>427</v>
      </c>
      <c r="D8" s="646" t="s">
        <v>442</v>
      </c>
      <c r="E8" s="647" t="s">
        <v>476</v>
      </c>
      <c r="F8" s="648">
        <v>15000</v>
      </c>
      <c r="G8" s="649">
        <v>7554</v>
      </c>
      <c r="H8" s="650"/>
      <c r="I8" s="650"/>
      <c r="J8" s="650"/>
      <c r="K8" s="650"/>
      <c r="L8" s="650"/>
      <c r="M8" s="650"/>
      <c r="N8" s="650">
        <v>22554</v>
      </c>
      <c r="O8" s="651">
        <v>0</v>
      </c>
      <c r="P8" s="650">
        <v>600</v>
      </c>
      <c r="Q8" s="650"/>
      <c r="R8" s="650"/>
      <c r="S8" s="650">
        <v>600</v>
      </c>
      <c r="T8" s="650">
        <v>21954</v>
      </c>
      <c r="U8" s="652"/>
      <c r="V8" s="652"/>
      <c r="W8" s="652"/>
      <c r="X8" s="652"/>
      <c r="Z8" s="652"/>
      <c r="AA8" s="564"/>
      <c r="AB8" s="564"/>
      <c r="AC8" s="564"/>
      <c r="AD8" s="564"/>
      <c r="AE8" s="564"/>
      <c r="AF8" s="564"/>
      <c r="AG8" s="564"/>
      <c r="AH8" s="564"/>
      <c r="AI8" s="564"/>
    </row>
    <row r="9" spans="1:38" s="653" customFormat="1" ht="11.25" customHeight="1">
      <c r="A9" s="643">
        <v>4</v>
      </c>
      <c r="B9" s="644">
        <v>1018</v>
      </c>
      <c r="C9" s="645" t="s">
        <v>173</v>
      </c>
      <c r="D9" s="646" t="s">
        <v>431</v>
      </c>
      <c r="E9" s="647" t="s">
        <v>480</v>
      </c>
      <c r="F9" s="648">
        <v>18550</v>
      </c>
      <c r="G9" s="649">
        <v>0</v>
      </c>
      <c r="H9" s="650">
        <v>1500</v>
      </c>
      <c r="I9" s="650">
        <v>1500</v>
      </c>
      <c r="J9" s="650"/>
      <c r="K9" s="650"/>
      <c r="L9" s="650"/>
      <c r="M9" s="650"/>
      <c r="N9" s="650">
        <v>21550</v>
      </c>
      <c r="O9" s="651">
        <v>37</v>
      </c>
      <c r="P9" s="650">
        <v>600</v>
      </c>
      <c r="Q9" s="650"/>
      <c r="R9" s="650"/>
      <c r="S9" s="650">
        <v>637</v>
      </c>
      <c r="T9" s="650">
        <v>20913</v>
      </c>
      <c r="U9" s="652"/>
      <c r="V9" s="652"/>
      <c r="W9" s="652"/>
      <c r="X9" s="652"/>
      <c r="Z9" s="652"/>
      <c r="AA9" s="564"/>
      <c r="AB9" s="564"/>
      <c r="AC9" s="564"/>
      <c r="AD9" s="564"/>
      <c r="AE9" s="564"/>
      <c r="AF9" s="564"/>
      <c r="AG9" s="564"/>
      <c r="AH9" s="564"/>
      <c r="AI9" s="564"/>
    </row>
    <row r="10" spans="1:38" s="653" customFormat="1" ht="15">
      <c r="A10" s="654"/>
      <c r="B10" s="655"/>
      <c r="C10" s="655"/>
      <c r="D10" s="656" t="s">
        <v>198</v>
      </c>
      <c r="E10" s="657"/>
      <c r="F10" s="658">
        <v>151310</v>
      </c>
      <c r="G10" s="658">
        <v>9404</v>
      </c>
      <c r="H10" s="658">
        <v>6500</v>
      </c>
      <c r="I10" s="658">
        <v>6000</v>
      </c>
      <c r="J10" s="658">
        <v>6500</v>
      </c>
      <c r="K10" s="658">
        <v>12850</v>
      </c>
      <c r="L10" s="658">
        <v>6000</v>
      </c>
      <c r="M10" s="658">
        <v>7000</v>
      </c>
      <c r="N10" s="658">
        <v>205564</v>
      </c>
      <c r="O10" s="658">
        <v>13154</v>
      </c>
      <c r="P10" s="658">
        <v>2400</v>
      </c>
      <c r="Q10" s="658">
        <v>0</v>
      </c>
      <c r="R10" s="658">
        <v>0</v>
      </c>
      <c r="S10" s="658">
        <v>15554</v>
      </c>
      <c r="T10" s="659">
        <v>190010</v>
      </c>
      <c r="U10" s="651"/>
      <c r="V10" s="660"/>
      <c r="W10" s="658"/>
      <c r="X10" s="658"/>
      <c r="Y10" s="658"/>
      <c r="AA10" s="564"/>
      <c r="AB10" s="564"/>
      <c r="AC10" s="564"/>
      <c r="AD10" s="564"/>
      <c r="AE10" s="564"/>
      <c r="AF10" s="564"/>
      <c r="AG10" s="564"/>
      <c r="AH10" s="564"/>
      <c r="AI10" s="564"/>
      <c r="AJ10" s="652"/>
      <c r="AK10" s="652"/>
      <c r="AL10" s="652"/>
    </row>
    <row r="11" spans="1:38" s="141" customFormat="1" ht="14.25">
      <c r="A11" s="139" t="s">
        <v>496</v>
      </c>
      <c r="B11" s="140"/>
      <c r="C11" s="140"/>
      <c r="F11" s="142"/>
      <c r="G11" s="142"/>
      <c r="H11" s="142"/>
      <c r="I11" s="142"/>
      <c r="J11" s="142"/>
      <c r="K11" s="142"/>
      <c r="L11" s="142"/>
      <c r="M11" s="142"/>
      <c r="N11" s="142"/>
      <c r="O11" s="142"/>
      <c r="P11" s="142"/>
      <c r="Q11" s="142"/>
      <c r="R11" s="142"/>
      <c r="S11" s="142"/>
    </row>
    <row r="12" spans="1:38" s="156" customFormat="1" ht="18" customHeight="1">
      <c r="A12" s="147" t="s">
        <v>123</v>
      </c>
      <c r="B12" s="148" t="s">
        <v>180</v>
      </c>
      <c r="C12" s="149" t="s">
        <v>185</v>
      </c>
      <c r="D12" s="150" t="s">
        <v>80</v>
      </c>
      <c r="E12" s="151" t="s">
        <v>184</v>
      </c>
      <c r="F12" s="152" t="s">
        <v>178</v>
      </c>
      <c r="G12" s="153"/>
      <c r="H12" s="153"/>
      <c r="I12" s="153"/>
      <c r="J12" s="153"/>
      <c r="K12" s="153"/>
      <c r="L12" s="153"/>
      <c r="M12" s="153"/>
      <c r="N12" s="153"/>
      <c r="O12" s="153" t="s">
        <v>179</v>
      </c>
      <c r="P12" s="153"/>
      <c r="Q12" s="153"/>
      <c r="R12" s="153"/>
      <c r="S12" s="153"/>
      <c r="T12" s="154" t="s">
        <v>56</v>
      </c>
      <c r="U12" s="155"/>
      <c r="V12" s="155"/>
      <c r="W12" s="155"/>
      <c r="X12" s="155"/>
      <c r="Y12" s="155"/>
      <c r="Z12" s="155"/>
      <c r="AA12" s="155"/>
      <c r="AB12" s="155"/>
      <c r="AC12" s="157"/>
      <c r="AE12" s="309"/>
      <c r="AF12" s="309"/>
      <c r="AG12" s="309"/>
      <c r="AH12" s="157"/>
      <c r="AI12" s="157"/>
      <c r="AJ12" s="157"/>
      <c r="AK12" s="157"/>
      <c r="AL12" s="157"/>
    </row>
    <row r="13" spans="1:38" s="682" customFormat="1" ht="11.25">
      <c r="A13" s="673" t="s">
        <v>129</v>
      </c>
      <c r="B13" s="674"/>
      <c r="C13" s="675" t="s">
        <v>186</v>
      </c>
      <c r="D13" s="676"/>
      <c r="E13" s="677"/>
      <c r="F13" s="678" t="s">
        <v>321</v>
      </c>
      <c r="G13" s="679" t="s">
        <v>51</v>
      </c>
      <c r="H13" s="679" t="s">
        <v>425</v>
      </c>
      <c r="I13" s="679" t="s">
        <v>426</v>
      </c>
      <c r="J13" s="679" t="s">
        <v>519</v>
      </c>
      <c r="K13" s="679" t="s">
        <v>455</v>
      </c>
      <c r="L13" s="679" t="s">
        <v>369</v>
      </c>
      <c r="M13" s="679" t="s">
        <v>55</v>
      </c>
      <c r="N13" s="679" t="s">
        <v>60</v>
      </c>
      <c r="O13" s="679" t="s">
        <v>181</v>
      </c>
      <c r="P13" s="679" t="s">
        <v>58</v>
      </c>
      <c r="Q13" s="679" t="s">
        <v>183</v>
      </c>
      <c r="R13" s="679" t="s">
        <v>55</v>
      </c>
      <c r="S13" s="679" t="s">
        <v>322</v>
      </c>
      <c r="T13" s="680"/>
      <c r="U13" s="681"/>
      <c r="V13" s="681"/>
      <c r="W13" s="681"/>
      <c r="X13" s="681"/>
      <c r="Y13" s="681"/>
      <c r="Z13" s="681"/>
      <c r="AA13" s="681"/>
      <c r="AB13" s="681"/>
      <c r="AE13" s="667"/>
      <c r="AF13" s="667"/>
      <c r="AG13" s="667"/>
    </row>
    <row r="14" spans="1:38" s="653" customFormat="1" ht="11.25" customHeight="1">
      <c r="A14" s="643">
        <v>1</v>
      </c>
      <c r="B14" s="644">
        <v>1001</v>
      </c>
      <c r="C14" s="645" t="s">
        <v>427</v>
      </c>
      <c r="D14" s="646" t="s">
        <v>429</v>
      </c>
      <c r="E14" s="647" t="s">
        <v>463</v>
      </c>
      <c r="F14" s="648">
        <v>150000</v>
      </c>
      <c r="G14" s="649">
        <v>1500</v>
      </c>
      <c r="H14" s="650">
        <v>2500</v>
      </c>
      <c r="I14" s="650">
        <v>1500</v>
      </c>
      <c r="J14" s="650">
        <v>2500</v>
      </c>
      <c r="K14" s="650">
        <v>3500</v>
      </c>
      <c r="L14" s="650">
        <v>4500</v>
      </c>
      <c r="M14" s="650">
        <v>5500</v>
      </c>
      <c r="N14" s="650">
        <v>171500</v>
      </c>
      <c r="O14" s="651">
        <v>24339</v>
      </c>
      <c r="P14" s="650">
        <v>600</v>
      </c>
      <c r="Q14" s="650"/>
      <c r="R14" s="650"/>
      <c r="S14" s="650">
        <v>24939</v>
      </c>
      <c r="T14" s="650">
        <v>146561</v>
      </c>
      <c r="U14" s="652"/>
      <c r="V14" s="652"/>
      <c r="W14" s="652"/>
      <c r="X14" s="652"/>
      <c r="Z14" s="652"/>
      <c r="AA14" s="564"/>
      <c r="AB14" s="564"/>
      <c r="AC14" s="564"/>
      <c r="AD14" s="564"/>
      <c r="AE14" s="564"/>
      <c r="AF14" s="564"/>
      <c r="AG14" s="564"/>
      <c r="AH14" s="564"/>
      <c r="AI14" s="564"/>
    </row>
    <row r="15" spans="1:38" s="653" customFormat="1" ht="15">
      <c r="A15" s="654"/>
      <c r="B15" s="655"/>
      <c r="C15" s="655"/>
      <c r="D15" s="656" t="s">
        <v>198</v>
      </c>
      <c r="E15" s="657"/>
      <c r="F15" s="658">
        <v>150000</v>
      </c>
      <c r="G15" s="658">
        <v>1500</v>
      </c>
      <c r="H15" s="658">
        <v>2500</v>
      </c>
      <c r="I15" s="658">
        <v>1500</v>
      </c>
      <c r="J15" s="658">
        <v>2500</v>
      </c>
      <c r="K15" s="658">
        <v>3500</v>
      </c>
      <c r="L15" s="658">
        <v>4500</v>
      </c>
      <c r="M15" s="658">
        <v>5500</v>
      </c>
      <c r="N15" s="658">
        <v>171500</v>
      </c>
      <c r="O15" s="658">
        <v>24339</v>
      </c>
      <c r="P15" s="658">
        <v>600</v>
      </c>
      <c r="Q15" s="658">
        <v>0</v>
      </c>
      <c r="R15" s="658">
        <v>0</v>
      </c>
      <c r="S15" s="658">
        <v>24939</v>
      </c>
      <c r="T15" s="659">
        <v>146561</v>
      </c>
      <c r="U15" s="651"/>
      <c r="V15" s="660"/>
      <c r="W15" s="658"/>
      <c r="X15" s="658"/>
      <c r="Y15" s="658"/>
      <c r="AA15" s="564"/>
      <c r="AB15" s="564"/>
      <c r="AC15" s="564"/>
      <c r="AD15" s="564"/>
      <c r="AE15" s="564"/>
      <c r="AF15" s="564"/>
      <c r="AG15" s="564"/>
      <c r="AH15" s="564"/>
      <c r="AI15" s="564"/>
      <c r="AJ15" s="652"/>
      <c r="AK15" s="652"/>
      <c r="AL15" s="652"/>
    </row>
    <row r="16" spans="1:38" s="141" customFormat="1" ht="14.25">
      <c r="A16" s="139" t="s">
        <v>497</v>
      </c>
      <c r="B16" s="140"/>
      <c r="C16" s="140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</row>
    <row r="17" spans="1:38" s="156" customFormat="1" ht="18" customHeight="1">
      <c r="A17" s="147" t="s">
        <v>123</v>
      </c>
      <c r="B17" s="148" t="s">
        <v>180</v>
      </c>
      <c r="C17" s="149" t="s">
        <v>185</v>
      </c>
      <c r="D17" s="150" t="s">
        <v>80</v>
      </c>
      <c r="E17" s="151" t="s">
        <v>184</v>
      </c>
      <c r="F17" s="152" t="s">
        <v>178</v>
      </c>
      <c r="G17" s="153"/>
      <c r="H17" s="153"/>
      <c r="I17" s="153"/>
      <c r="J17" s="153"/>
      <c r="K17" s="153"/>
      <c r="L17" s="153"/>
      <c r="M17" s="153"/>
      <c r="N17" s="153"/>
      <c r="O17" s="153" t="s">
        <v>179</v>
      </c>
      <c r="P17" s="153"/>
      <c r="Q17" s="153"/>
      <c r="R17" s="153"/>
      <c r="S17" s="153"/>
      <c r="T17" s="154" t="s">
        <v>56</v>
      </c>
      <c r="U17" s="155"/>
      <c r="V17" s="155"/>
      <c r="W17" s="155"/>
      <c r="X17" s="155"/>
      <c r="Y17" s="155"/>
      <c r="Z17" s="155"/>
      <c r="AA17" s="155"/>
      <c r="AB17" s="155"/>
      <c r="AC17" s="157"/>
      <c r="AE17" s="309"/>
      <c r="AF17" s="309"/>
      <c r="AG17" s="309"/>
      <c r="AH17" s="157"/>
      <c r="AI17" s="157"/>
      <c r="AJ17" s="157"/>
      <c r="AK17" s="157"/>
      <c r="AL17" s="157"/>
    </row>
    <row r="18" spans="1:38" s="682" customFormat="1" ht="11.25">
      <c r="A18" s="673" t="s">
        <v>129</v>
      </c>
      <c r="B18" s="674"/>
      <c r="C18" s="675" t="s">
        <v>186</v>
      </c>
      <c r="D18" s="676"/>
      <c r="E18" s="677"/>
      <c r="F18" s="678" t="s">
        <v>321</v>
      </c>
      <c r="G18" s="679" t="s">
        <v>51</v>
      </c>
      <c r="H18" s="679" t="s">
        <v>425</v>
      </c>
      <c r="I18" s="679" t="s">
        <v>426</v>
      </c>
      <c r="J18" s="679" t="s">
        <v>519</v>
      </c>
      <c r="K18" s="679" t="s">
        <v>455</v>
      </c>
      <c r="L18" s="679" t="s">
        <v>369</v>
      </c>
      <c r="M18" s="679" t="s">
        <v>55</v>
      </c>
      <c r="N18" s="679" t="s">
        <v>60</v>
      </c>
      <c r="O18" s="679" t="s">
        <v>181</v>
      </c>
      <c r="P18" s="679" t="s">
        <v>58</v>
      </c>
      <c r="Q18" s="679" t="s">
        <v>183</v>
      </c>
      <c r="R18" s="679" t="s">
        <v>55</v>
      </c>
      <c r="S18" s="679" t="s">
        <v>322</v>
      </c>
      <c r="T18" s="680"/>
      <c r="U18" s="681"/>
      <c r="V18" s="681"/>
      <c r="W18" s="681"/>
      <c r="X18" s="681"/>
      <c r="Y18" s="681"/>
      <c r="Z18" s="681"/>
      <c r="AA18" s="681"/>
      <c r="AB18" s="681"/>
      <c r="AE18" s="667"/>
      <c r="AF18" s="667"/>
      <c r="AG18" s="667"/>
    </row>
    <row r="19" spans="1:38" s="653" customFormat="1" ht="11.25" customHeight="1">
      <c r="A19" s="643">
        <v>1</v>
      </c>
      <c r="B19" s="644">
        <v>1004</v>
      </c>
      <c r="C19" s="645" t="s">
        <v>173</v>
      </c>
      <c r="D19" s="646" t="s">
        <v>432</v>
      </c>
      <c r="E19" s="647" t="s">
        <v>466</v>
      </c>
      <c r="F19" s="648">
        <v>38896</v>
      </c>
      <c r="G19" s="649">
        <v>0</v>
      </c>
      <c r="H19" s="650"/>
      <c r="I19" s="650"/>
      <c r="J19" s="650"/>
      <c r="K19" s="650"/>
      <c r="L19" s="650"/>
      <c r="M19" s="650"/>
      <c r="N19" s="650">
        <v>38896</v>
      </c>
      <c r="O19" s="651">
        <v>1080</v>
      </c>
      <c r="P19" s="650">
        <v>600</v>
      </c>
      <c r="Q19" s="650"/>
      <c r="R19" s="650"/>
      <c r="S19" s="650">
        <v>1680</v>
      </c>
      <c r="T19" s="650">
        <v>37216</v>
      </c>
      <c r="U19" s="652"/>
      <c r="V19" s="652"/>
      <c r="W19" s="652"/>
      <c r="X19" s="652"/>
      <c r="Z19" s="652"/>
      <c r="AA19" s="564"/>
      <c r="AB19" s="564"/>
      <c r="AC19" s="564"/>
      <c r="AD19" s="564"/>
      <c r="AE19" s="564"/>
      <c r="AF19" s="564"/>
      <c r="AG19" s="564"/>
      <c r="AH19" s="564"/>
      <c r="AI19" s="564"/>
    </row>
    <row r="20" spans="1:38" s="653" customFormat="1" ht="11.25" customHeight="1">
      <c r="A20" s="643">
        <v>2</v>
      </c>
      <c r="B20" s="644">
        <v>1008</v>
      </c>
      <c r="C20" s="645" t="s">
        <v>173</v>
      </c>
      <c r="D20" s="646" t="s">
        <v>436</v>
      </c>
      <c r="E20" s="647" t="s">
        <v>470</v>
      </c>
      <c r="F20" s="648">
        <v>6000</v>
      </c>
      <c r="G20" s="649">
        <v>0</v>
      </c>
      <c r="H20" s="650"/>
      <c r="I20" s="650"/>
      <c r="J20" s="650"/>
      <c r="K20" s="650"/>
      <c r="L20" s="650"/>
      <c r="M20" s="650"/>
      <c r="N20" s="650">
        <v>6000</v>
      </c>
      <c r="O20" s="651">
        <v>0</v>
      </c>
      <c r="P20" s="650">
        <v>240</v>
      </c>
      <c r="Q20" s="650"/>
      <c r="R20" s="650"/>
      <c r="S20" s="650">
        <v>240</v>
      </c>
      <c r="T20" s="650">
        <v>5760</v>
      </c>
      <c r="U20" s="652"/>
      <c r="V20" s="652"/>
      <c r="W20" s="652"/>
      <c r="X20" s="652"/>
      <c r="Z20" s="652"/>
      <c r="AA20" s="564"/>
      <c r="AB20" s="564"/>
      <c r="AC20" s="564"/>
      <c r="AD20" s="564"/>
      <c r="AE20" s="564"/>
      <c r="AF20" s="564"/>
      <c r="AG20" s="564"/>
      <c r="AH20" s="564"/>
      <c r="AI20" s="564"/>
    </row>
    <row r="21" spans="1:38" s="653" customFormat="1" ht="11.25" customHeight="1">
      <c r="A21" s="643">
        <v>3</v>
      </c>
      <c r="B21" s="644">
        <v>1012</v>
      </c>
      <c r="C21" s="645" t="s">
        <v>173</v>
      </c>
      <c r="D21" s="646" t="s">
        <v>440</v>
      </c>
      <c r="E21" s="647" t="s">
        <v>474</v>
      </c>
      <c r="F21" s="648">
        <v>28000</v>
      </c>
      <c r="G21" s="649">
        <v>0</v>
      </c>
      <c r="H21" s="650"/>
      <c r="I21" s="650"/>
      <c r="J21" s="650">
        <v>1500</v>
      </c>
      <c r="K21" s="650">
        <v>1500</v>
      </c>
      <c r="L21" s="650"/>
      <c r="M21" s="650"/>
      <c r="N21" s="650">
        <v>31000</v>
      </c>
      <c r="O21" s="651">
        <v>280</v>
      </c>
      <c r="P21" s="650">
        <v>600</v>
      </c>
      <c r="Q21" s="650"/>
      <c r="R21" s="650"/>
      <c r="S21" s="650">
        <v>880</v>
      </c>
      <c r="T21" s="650">
        <v>30120</v>
      </c>
      <c r="U21" s="652"/>
      <c r="V21" s="652"/>
      <c r="W21" s="652"/>
      <c r="X21" s="652"/>
      <c r="Z21" s="652"/>
      <c r="AA21" s="564"/>
      <c r="AB21" s="564"/>
      <c r="AC21" s="564"/>
      <c r="AD21" s="564"/>
      <c r="AE21" s="564"/>
      <c r="AF21" s="564"/>
      <c r="AG21" s="564"/>
      <c r="AH21" s="564"/>
      <c r="AI21" s="564"/>
    </row>
    <row r="22" spans="1:38" s="653" customFormat="1" ht="11.25" customHeight="1">
      <c r="A22" s="643">
        <v>4</v>
      </c>
      <c r="B22" s="644">
        <v>1016</v>
      </c>
      <c r="C22" s="645" t="s">
        <v>173</v>
      </c>
      <c r="D22" s="646" t="s">
        <v>429</v>
      </c>
      <c r="E22" s="647" t="s">
        <v>478</v>
      </c>
      <c r="F22" s="648">
        <v>32760</v>
      </c>
      <c r="G22" s="649">
        <v>4588</v>
      </c>
      <c r="H22" s="650">
        <v>3000</v>
      </c>
      <c r="I22" s="650"/>
      <c r="J22" s="650"/>
      <c r="K22" s="650"/>
      <c r="L22" s="650"/>
      <c r="M22" s="650"/>
      <c r="N22" s="650">
        <v>40348</v>
      </c>
      <c r="O22" s="651">
        <v>1224</v>
      </c>
      <c r="P22" s="650">
        <v>600</v>
      </c>
      <c r="Q22" s="650"/>
      <c r="R22" s="650"/>
      <c r="S22" s="650">
        <v>1824</v>
      </c>
      <c r="T22" s="650">
        <v>38524</v>
      </c>
      <c r="U22" s="652"/>
      <c r="V22" s="652"/>
      <c r="W22" s="652"/>
      <c r="X22" s="652"/>
      <c r="Z22" s="652"/>
      <c r="AA22" s="564"/>
      <c r="AB22" s="564"/>
      <c r="AC22" s="564"/>
      <c r="AD22" s="564"/>
      <c r="AE22" s="564"/>
      <c r="AF22" s="564"/>
      <c r="AG22" s="564"/>
      <c r="AH22" s="564"/>
      <c r="AI22" s="564"/>
    </row>
    <row r="23" spans="1:38" s="653" customFormat="1" ht="15">
      <c r="A23" s="654"/>
      <c r="B23" s="655"/>
      <c r="C23" s="655"/>
      <c r="D23" s="656" t="s">
        <v>198</v>
      </c>
      <c r="E23" s="657"/>
      <c r="F23" s="658">
        <v>105656</v>
      </c>
      <c r="G23" s="658">
        <v>4588</v>
      </c>
      <c r="H23" s="658">
        <v>3000</v>
      </c>
      <c r="I23" s="658">
        <v>0</v>
      </c>
      <c r="J23" s="658">
        <v>1500</v>
      </c>
      <c r="K23" s="658">
        <v>1500</v>
      </c>
      <c r="L23" s="658">
        <v>0</v>
      </c>
      <c r="M23" s="658">
        <v>0</v>
      </c>
      <c r="N23" s="658">
        <v>116244</v>
      </c>
      <c r="O23" s="658">
        <v>2584</v>
      </c>
      <c r="P23" s="658">
        <v>2040</v>
      </c>
      <c r="Q23" s="658">
        <v>0</v>
      </c>
      <c r="R23" s="658">
        <v>0</v>
      </c>
      <c r="S23" s="658">
        <v>4624</v>
      </c>
      <c r="T23" s="659">
        <v>111620</v>
      </c>
      <c r="U23" s="651"/>
      <c r="V23" s="660"/>
      <c r="W23" s="658"/>
      <c r="X23" s="658"/>
      <c r="Y23" s="658"/>
      <c r="AA23" s="564"/>
      <c r="AB23" s="564"/>
      <c r="AC23" s="564"/>
      <c r="AD23" s="564"/>
      <c r="AE23" s="564"/>
      <c r="AF23" s="564"/>
      <c r="AG23" s="564"/>
      <c r="AH23" s="564"/>
      <c r="AI23" s="564"/>
      <c r="AJ23" s="652"/>
      <c r="AK23" s="652"/>
      <c r="AL23" s="652"/>
    </row>
    <row r="24" spans="1:38" s="141" customFormat="1" ht="14.25">
      <c r="A24" s="139" t="s">
        <v>498</v>
      </c>
      <c r="B24" s="140"/>
      <c r="C24" s="140"/>
      <c r="F24" s="142"/>
      <c r="G24" s="142"/>
      <c r="H24" s="142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</row>
    <row r="25" spans="1:38" s="156" customFormat="1" ht="18" customHeight="1">
      <c r="A25" s="147" t="s">
        <v>123</v>
      </c>
      <c r="B25" s="148" t="s">
        <v>180</v>
      </c>
      <c r="C25" s="149" t="s">
        <v>185</v>
      </c>
      <c r="D25" s="150" t="s">
        <v>80</v>
      </c>
      <c r="E25" s="151" t="s">
        <v>184</v>
      </c>
      <c r="F25" s="152" t="s">
        <v>178</v>
      </c>
      <c r="G25" s="153"/>
      <c r="H25" s="153"/>
      <c r="I25" s="153"/>
      <c r="J25" s="153"/>
      <c r="K25" s="153"/>
      <c r="L25" s="153"/>
      <c r="M25" s="153"/>
      <c r="N25" s="153"/>
      <c r="O25" s="153" t="s">
        <v>179</v>
      </c>
      <c r="P25" s="153"/>
      <c r="Q25" s="153"/>
      <c r="R25" s="153"/>
      <c r="S25" s="153"/>
      <c r="T25" s="154" t="s">
        <v>56</v>
      </c>
      <c r="U25" s="155"/>
      <c r="V25" s="155"/>
      <c r="W25" s="155"/>
      <c r="X25" s="155"/>
      <c r="Y25" s="155"/>
      <c r="Z25" s="155"/>
      <c r="AA25" s="155"/>
      <c r="AB25" s="155"/>
      <c r="AC25" s="157"/>
      <c r="AE25" s="309"/>
      <c r="AF25" s="309"/>
      <c r="AG25" s="309"/>
      <c r="AH25" s="157"/>
      <c r="AI25" s="157"/>
      <c r="AJ25" s="157"/>
      <c r="AK25" s="157"/>
      <c r="AL25" s="157"/>
    </row>
    <row r="26" spans="1:38" s="682" customFormat="1" ht="11.25">
      <c r="A26" s="673" t="s">
        <v>129</v>
      </c>
      <c r="B26" s="674"/>
      <c r="C26" s="675" t="s">
        <v>186</v>
      </c>
      <c r="D26" s="676"/>
      <c r="E26" s="677"/>
      <c r="F26" s="678" t="s">
        <v>321</v>
      </c>
      <c r="G26" s="679" t="s">
        <v>51</v>
      </c>
      <c r="H26" s="679" t="s">
        <v>425</v>
      </c>
      <c r="I26" s="679" t="s">
        <v>426</v>
      </c>
      <c r="J26" s="679" t="s">
        <v>519</v>
      </c>
      <c r="K26" s="679" t="s">
        <v>455</v>
      </c>
      <c r="L26" s="679" t="s">
        <v>369</v>
      </c>
      <c r="M26" s="679" t="s">
        <v>55</v>
      </c>
      <c r="N26" s="679" t="s">
        <v>60</v>
      </c>
      <c r="O26" s="679" t="s">
        <v>181</v>
      </c>
      <c r="P26" s="679" t="s">
        <v>58</v>
      </c>
      <c r="Q26" s="679" t="s">
        <v>183</v>
      </c>
      <c r="R26" s="679" t="s">
        <v>55</v>
      </c>
      <c r="S26" s="679" t="s">
        <v>322</v>
      </c>
      <c r="T26" s="680"/>
      <c r="U26" s="681"/>
      <c r="V26" s="681"/>
      <c r="W26" s="681"/>
      <c r="X26" s="681"/>
      <c r="Y26" s="681"/>
      <c r="Z26" s="681"/>
      <c r="AA26" s="681"/>
      <c r="AB26" s="681"/>
      <c r="AE26" s="667"/>
      <c r="AF26" s="667"/>
      <c r="AG26" s="667"/>
    </row>
    <row r="27" spans="1:38" s="653" customFormat="1" ht="11.25" customHeight="1">
      <c r="A27" s="643">
        <v>1</v>
      </c>
      <c r="B27" s="644">
        <v>1019</v>
      </c>
      <c r="C27" s="645" t="s">
        <v>173</v>
      </c>
      <c r="D27" s="646" t="s">
        <v>432</v>
      </c>
      <c r="E27" s="647" t="s">
        <v>481</v>
      </c>
      <c r="F27" s="648">
        <v>35000</v>
      </c>
      <c r="G27" s="649">
        <v>1000</v>
      </c>
      <c r="H27" s="650">
        <v>2000</v>
      </c>
      <c r="I27" s="650">
        <v>3000</v>
      </c>
      <c r="J27" s="650">
        <v>4000</v>
      </c>
      <c r="K27" s="650">
        <v>5000</v>
      </c>
      <c r="L27" s="650">
        <v>6000</v>
      </c>
      <c r="M27" s="650">
        <v>7000</v>
      </c>
      <c r="N27" s="650">
        <v>63000</v>
      </c>
      <c r="O27" s="651">
        <v>3490</v>
      </c>
      <c r="P27" s="650">
        <v>600</v>
      </c>
      <c r="Q27" s="650"/>
      <c r="R27" s="650"/>
      <c r="S27" s="650">
        <v>4090</v>
      </c>
      <c r="T27" s="650">
        <v>58910</v>
      </c>
      <c r="U27" s="652"/>
      <c r="V27" s="652"/>
      <c r="W27" s="652"/>
      <c r="X27" s="652"/>
      <c r="Z27" s="652"/>
      <c r="AA27" s="564"/>
      <c r="AB27" s="564"/>
      <c r="AC27" s="564"/>
      <c r="AD27" s="564"/>
      <c r="AE27" s="564"/>
      <c r="AF27" s="564"/>
      <c r="AG27" s="564"/>
      <c r="AH27" s="564"/>
      <c r="AI27" s="564"/>
    </row>
    <row r="28" spans="1:38" s="653" customFormat="1" ht="15">
      <c r="A28" s="654"/>
      <c r="B28" s="655"/>
      <c r="C28" s="655"/>
      <c r="D28" s="656" t="s">
        <v>198</v>
      </c>
      <c r="E28" s="657"/>
      <c r="F28" s="658">
        <v>35000</v>
      </c>
      <c r="G28" s="658">
        <v>1000</v>
      </c>
      <c r="H28" s="658">
        <v>2000</v>
      </c>
      <c r="I28" s="658">
        <v>3000</v>
      </c>
      <c r="J28" s="658">
        <v>4000</v>
      </c>
      <c r="K28" s="658">
        <v>5000</v>
      </c>
      <c r="L28" s="658">
        <v>6000</v>
      </c>
      <c r="M28" s="658">
        <v>7000</v>
      </c>
      <c r="N28" s="658">
        <v>63000</v>
      </c>
      <c r="O28" s="658">
        <v>3490</v>
      </c>
      <c r="P28" s="658">
        <v>600</v>
      </c>
      <c r="Q28" s="658">
        <v>0</v>
      </c>
      <c r="R28" s="658">
        <v>0</v>
      </c>
      <c r="S28" s="658">
        <v>4090</v>
      </c>
      <c r="T28" s="659">
        <v>58910</v>
      </c>
      <c r="U28" s="651"/>
      <c r="V28" s="660"/>
      <c r="W28" s="658"/>
      <c r="X28" s="658"/>
      <c r="Y28" s="658"/>
      <c r="AA28" s="564"/>
      <c r="AB28" s="564"/>
      <c r="AC28" s="564"/>
      <c r="AD28" s="564"/>
      <c r="AE28" s="564"/>
      <c r="AF28" s="564"/>
      <c r="AG28" s="564"/>
      <c r="AH28" s="564"/>
      <c r="AI28" s="564"/>
      <c r="AJ28" s="652"/>
      <c r="AK28" s="652"/>
      <c r="AL28" s="652"/>
    </row>
    <row r="29" spans="1:38" s="141" customFormat="1" ht="14.25">
      <c r="A29" s="139" t="s">
        <v>509</v>
      </c>
      <c r="B29" s="140"/>
      <c r="C29" s="140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</row>
    <row r="30" spans="1:38" s="156" customFormat="1" ht="18" customHeight="1">
      <c r="A30" s="147" t="s">
        <v>123</v>
      </c>
      <c r="B30" s="148" t="s">
        <v>180</v>
      </c>
      <c r="C30" s="149" t="s">
        <v>185</v>
      </c>
      <c r="D30" s="150" t="s">
        <v>80</v>
      </c>
      <c r="E30" s="151" t="s">
        <v>184</v>
      </c>
      <c r="F30" s="152" t="s">
        <v>178</v>
      </c>
      <c r="G30" s="153"/>
      <c r="H30" s="153"/>
      <c r="I30" s="153"/>
      <c r="J30" s="153"/>
      <c r="K30" s="153"/>
      <c r="L30" s="153"/>
      <c r="M30" s="153"/>
      <c r="N30" s="153"/>
      <c r="O30" s="153" t="s">
        <v>179</v>
      </c>
      <c r="P30" s="153"/>
      <c r="Q30" s="153"/>
      <c r="R30" s="153"/>
      <c r="S30" s="153"/>
      <c r="T30" s="154" t="s">
        <v>56</v>
      </c>
      <c r="U30" s="155"/>
      <c r="V30" s="155"/>
      <c r="W30" s="155"/>
      <c r="X30" s="155"/>
      <c r="Y30" s="155"/>
      <c r="Z30" s="155"/>
      <c r="AA30" s="155"/>
      <c r="AB30" s="155"/>
      <c r="AC30" s="157"/>
      <c r="AE30" s="309"/>
      <c r="AF30" s="309"/>
      <c r="AG30" s="309"/>
      <c r="AH30" s="157"/>
      <c r="AI30" s="157"/>
      <c r="AJ30" s="157"/>
      <c r="AK30" s="157"/>
      <c r="AL30" s="157"/>
    </row>
    <row r="31" spans="1:38" s="682" customFormat="1" ht="11.25">
      <c r="A31" s="673" t="s">
        <v>129</v>
      </c>
      <c r="B31" s="674"/>
      <c r="C31" s="675" t="s">
        <v>186</v>
      </c>
      <c r="D31" s="676"/>
      <c r="E31" s="677"/>
      <c r="F31" s="678" t="s">
        <v>321</v>
      </c>
      <c r="G31" s="679" t="s">
        <v>51</v>
      </c>
      <c r="H31" s="679" t="s">
        <v>425</v>
      </c>
      <c r="I31" s="679" t="s">
        <v>426</v>
      </c>
      <c r="J31" s="679" t="s">
        <v>519</v>
      </c>
      <c r="K31" s="679" t="s">
        <v>455</v>
      </c>
      <c r="L31" s="679" t="s">
        <v>369</v>
      </c>
      <c r="M31" s="679" t="s">
        <v>55</v>
      </c>
      <c r="N31" s="679" t="s">
        <v>60</v>
      </c>
      <c r="O31" s="679" t="s">
        <v>181</v>
      </c>
      <c r="P31" s="679" t="s">
        <v>58</v>
      </c>
      <c r="Q31" s="679" t="s">
        <v>183</v>
      </c>
      <c r="R31" s="679" t="s">
        <v>55</v>
      </c>
      <c r="S31" s="679" t="s">
        <v>322</v>
      </c>
      <c r="T31" s="680"/>
      <c r="U31" s="681"/>
      <c r="V31" s="681"/>
      <c r="W31" s="681"/>
      <c r="X31" s="681"/>
      <c r="Y31" s="681"/>
      <c r="Z31" s="681"/>
      <c r="AA31" s="681"/>
      <c r="AB31" s="681"/>
      <c r="AE31" s="667"/>
      <c r="AF31" s="667"/>
      <c r="AG31" s="667"/>
    </row>
    <row r="32" spans="1:38" s="653" customFormat="1" ht="11.25" customHeight="1">
      <c r="A32" s="643">
        <v>1</v>
      </c>
      <c r="B32" s="644">
        <v>1013</v>
      </c>
      <c r="C32" s="645" t="s">
        <v>173</v>
      </c>
      <c r="D32" s="646" t="s">
        <v>441</v>
      </c>
      <c r="E32" s="647" t="s">
        <v>475</v>
      </c>
      <c r="F32" s="648">
        <v>17000</v>
      </c>
      <c r="G32" s="649">
        <v>0</v>
      </c>
      <c r="H32" s="650"/>
      <c r="I32" s="650"/>
      <c r="J32" s="650">
        <v>1500</v>
      </c>
      <c r="K32" s="650">
        <v>1500</v>
      </c>
      <c r="L32" s="650"/>
      <c r="M32" s="650"/>
      <c r="N32" s="650">
        <v>20000</v>
      </c>
      <c r="O32" s="651">
        <v>0</v>
      </c>
      <c r="P32" s="650">
        <v>600</v>
      </c>
      <c r="Q32" s="650"/>
      <c r="R32" s="650"/>
      <c r="S32" s="650">
        <v>600</v>
      </c>
      <c r="T32" s="650">
        <v>19400</v>
      </c>
      <c r="U32" s="652"/>
      <c r="V32" s="652"/>
      <c r="W32" s="652"/>
      <c r="X32" s="652"/>
      <c r="Z32" s="652"/>
      <c r="AA32" s="564"/>
      <c r="AB32" s="564"/>
      <c r="AC32" s="564"/>
      <c r="AD32" s="564"/>
      <c r="AE32" s="564"/>
      <c r="AF32" s="564"/>
      <c r="AG32" s="564"/>
      <c r="AH32" s="564"/>
      <c r="AI32" s="564"/>
    </row>
    <row r="33" spans="1:38" s="653" customFormat="1" ht="11.25" customHeight="1">
      <c r="A33" s="643">
        <v>2</v>
      </c>
      <c r="B33" s="644">
        <v>1017</v>
      </c>
      <c r="C33" s="645" t="s">
        <v>173</v>
      </c>
      <c r="D33" s="646" t="s">
        <v>430</v>
      </c>
      <c r="E33" s="647" t="s">
        <v>479</v>
      </c>
      <c r="F33" s="648">
        <v>18550</v>
      </c>
      <c r="G33" s="649">
        <v>2356</v>
      </c>
      <c r="H33" s="650">
        <v>1500</v>
      </c>
      <c r="I33" s="650">
        <v>1500</v>
      </c>
      <c r="J33" s="650"/>
      <c r="K33" s="650"/>
      <c r="L33" s="650"/>
      <c r="M33" s="650"/>
      <c r="N33" s="650">
        <v>23906</v>
      </c>
      <c r="O33" s="651">
        <v>0</v>
      </c>
      <c r="P33" s="650">
        <v>600</v>
      </c>
      <c r="Q33" s="650"/>
      <c r="R33" s="650"/>
      <c r="S33" s="650">
        <v>600</v>
      </c>
      <c r="T33" s="650">
        <v>23306</v>
      </c>
      <c r="U33" s="652"/>
      <c r="V33" s="652"/>
      <c r="W33" s="652"/>
      <c r="X33" s="652"/>
      <c r="Z33" s="652"/>
      <c r="AA33" s="564"/>
      <c r="AB33" s="564"/>
      <c r="AC33" s="564"/>
      <c r="AD33" s="564"/>
      <c r="AE33" s="564"/>
      <c r="AF33" s="564"/>
      <c r="AG33" s="564"/>
      <c r="AH33" s="564"/>
      <c r="AI33" s="564"/>
    </row>
    <row r="34" spans="1:38" s="653" customFormat="1" ht="15">
      <c r="A34" s="654"/>
      <c r="B34" s="655"/>
      <c r="C34" s="655"/>
      <c r="D34" s="656" t="s">
        <v>198</v>
      </c>
      <c r="E34" s="657"/>
      <c r="F34" s="658">
        <v>35550</v>
      </c>
      <c r="G34" s="658">
        <v>2356</v>
      </c>
      <c r="H34" s="658">
        <v>1500</v>
      </c>
      <c r="I34" s="658">
        <v>1500</v>
      </c>
      <c r="J34" s="658">
        <v>1500</v>
      </c>
      <c r="K34" s="658">
        <v>1500</v>
      </c>
      <c r="L34" s="658">
        <v>0</v>
      </c>
      <c r="M34" s="658">
        <v>0</v>
      </c>
      <c r="N34" s="658">
        <v>43906</v>
      </c>
      <c r="O34" s="658">
        <v>0</v>
      </c>
      <c r="P34" s="658">
        <v>1200</v>
      </c>
      <c r="Q34" s="658">
        <v>0</v>
      </c>
      <c r="R34" s="658">
        <v>0</v>
      </c>
      <c r="S34" s="658">
        <v>1200</v>
      </c>
      <c r="T34" s="659">
        <v>42706</v>
      </c>
      <c r="U34" s="651"/>
      <c r="V34" s="660"/>
      <c r="W34" s="658"/>
      <c r="X34" s="658"/>
      <c r="Y34" s="658"/>
      <c r="AA34" s="564"/>
      <c r="AB34" s="564"/>
      <c r="AC34" s="564"/>
      <c r="AD34" s="564"/>
      <c r="AE34" s="564"/>
      <c r="AF34" s="564"/>
      <c r="AG34" s="564"/>
      <c r="AH34" s="564"/>
      <c r="AI34" s="564"/>
      <c r="AJ34" s="652"/>
      <c r="AK34" s="652"/>
      <c r="AL34" s="652"/>
    </row>
    <row r="35" spans="1:38" s="141" customFormat="1" ht="14.25">
      <c r="A35" s="139" t="s">
        <v>510</v>
      </c>
      <c r="B35" s="140"/>
      <c r="C35" s="140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</row>
    <row r="36" spans="1:38" s="156" customFormat="1" ht="18" customHeight="1">
      <c r="A36" s="147" t="s">
        <v>123</v>
      </c>
      <c r="B36" s="148" t="s">
        <v>180</v>
      </c>
      <c r="C36" s="149" t="s">
        <v>185</v>
      </c>
      <c r="D36" s="150" t="s">
        <v>80</v>
      </c>
      <c r="E36" s="151" t="s">
        <v>184</v>
      </c>
      <c r="F36" s="152" t="s">
        <v>178</v>
      </c>
      <c r="G36" s="153"/>
      <c r="H36" s="153"/>
      <c r="I36" s="153"/>
      <c r="J36" s="153"/>
      <c r="K36" s="153"/>
      <c r="L36" s="153"/>
      <c r="M36" s="153"/>
      <c r="N36" s="153"/>
      <c r="O36" s="153" t="s">
        <v>179</v>
      </c>
      <c r="P36" s="153"/>
      <c r="Q36" s="153"/>
      <c r="R36" s="153"/>
      <c r="S36" s="153"/>
      <c r="T36" s="154" t="s">
        <v>56</v>
      </c>
      <c r="U36" s="155"/>
      <c r="V36" s="155"/>
      <c r="W36" s="155"/>
      <c r="X36" s="155"/>
      <c r="Y36" s="155"/>
      <c r="Z36" s="155"/>
      <c r="AA36" s="155"/>
      <c r="AB36" s="155"/>
      <c r="AC36" s="157"/>
      <c r="AE36" s="309"/>
      <c r="AF36" s="309"/>
      <c r="AG36" s="309"/>
      <c r="AH36" s="157"/>
      <c r="AI36" s="157"/>
      <c r="AJ36" s="157"/>
      <c r="AK36" s="157"/>
      <c r="AL36" s="157"/>
    </row>
    <row r="37" spans="1:38" s="682" customFormat="1" ht="11.25">
      <c r="A37" s="673" t="s">
        <v>129</v>
      </c>
      <c r="B37" s="674"/>
      <c r="C37" s="675" t="s">
        <v>186</v>
      </c>
      <c r="D37" s="676"/>
      <c r="E37" s="677"/>
      <c r="F37" s="678" t="s">
        <v>321</v>
      </c>
      <c r="G37" s="679" t="s">
        <v>51</v>
      </c>
      <c r="H37" s="679" t="s">
        <v>425</v>
      </c>
      <c r="I37" s="679" t="s">
        <v>426</v>
      </c>
      <c r="J37" s="679" t="s">
        <v>519</v>
      </c>
      <c r="K37" s="679" t="s">
        <v>455</v>
      </c>
      <c r="L37" s="679" t="s">
        <v>369</v>
      </c>
      <c r="M37" s="679" t="s">
        <v>55</v>
      </c>
      <c r="N37" s="679" t="s">
        <v>60</v>
      </c>
      <c r="O37" s="679" t="s">
        <v>181</v>
      </c>
      <c r="P37" s="679" t="s">
        <v>58</v>
      </c>
      <c r="Q37" s="679" t="s">
        <v>183</v>
      </c>
      <c r="R37" s="679" t="s">
        <v>55</v>
      </c>
      <c r="S37" s="679" t="s">
        <v>322</v>
      </c>
      <c r="T37" s="680"/>
      <c r="U37" s="681"/>
      <c r="V37" s="681"/>
      <c r="W37" s="681"/>
      <c r="X37" s="681"/>
      <c r="Y37" s="681"/>
      <c r="Z37" s="681"/>
      <c r="AA37" s="681"/>
      <c r="AB37" s="681"/>
      <c r="AE37" s="667"/>
      <c r="AF37" s="667"/>
      <c r="AG37" s="667"/>
    </row>
    <row r="38" spans="1:38" s="653" customFormat="1" ht="11.25" customHeight="1">
      <c r="A38" s="643">
        <v>1</v>
      </c>
      <c r="B38" s="644">
        <v>1003</v>
      </c>
      <c r="C38" s="645" t="s">
        <v>427</v>
      </c>
      <c r="D38" s="646" t="s">
        <v>431</v>
      </c>
      <c r="E38" s="647" t="s">
        <v>465</v>
      </c>
      <c r="F38" s="648">
        <v>12000</v>
      </c>
      <c r="G38" s="649">
        <v>0</v>
      </c>
      <c r="H38" s="650">
        <v>0</v>
      </c>
      <c r="I38" s="650"/>
      <c r="J38" s="650"/>
      <c r="K38" s="650"/>
      <c r="L38" s="650"/>
      <c r="M38" s="650"/>
      <c r="N38" s="650">
        <v>12000</v>
      </c>
      <c r="O38" s="651">
        <v>0</v>
      </c>
      <c r="P38" s="650">
        <v>480</v>
      </c>
      <c r="Q38" s="650"/>
      <c r="R38" s="650"/>
      <c r="S38" s="650">
        <v>480</v>
      </c>
      <c r="T38" s="650">
        <v>11520</v>
      </c>
      <c r="U38" s="652"/>
      <c r="V38" s="652"/>
      <c r="W38" s="652"/>
      <c r="X38" s="652"/>
      <c r="Z38" s="652"/>
      <c r="AA38" s="564"/>
      <c r="AB38" s="564"/>
      <c r="AC38" s="564"/>
      <c r="AD38" s="564"/>
      <c r="AE38" s="564"/>
      <c r="AF38" s="564"/>
      <c r="AG38" s="564"/>
      <c r="AH38" s="564"/>
      <c r="AI38" s="564"/>
    </row>
    <row r="39" spans="1:38" s="653" customFormat="1" ht="11.25" customHeight="1">
      <c r="A39" s="643">
        <v>2</v>
      </c>
      <c r="B39" s="644">
        <v>1011</v>
      </c>
      <c r="C39" s="645" t="s">
        <v>427</v>
      </c>
      <c r="D39" s="646" t="s">
        <v>439</v>
      </c>
      <c r="E39" s="647" t="s">
        <v>473</v>
      </c>
      <c r="F39" s="648">
        <v>7554</v>
      </c>
      <c r="G39" s="649">
        <v>0</v>
      </c>
      <c r="H39" s="650"/>
      <c r="I39" s="650"/>
      <c r="J39" s="650"/>
      <c r="K39" s="650"/>
      <c r="L39" s="650"/>
      <c r="M39" s="650"/>
      <c r="N39" s="650">
        <v>7554</v>
      </c>
      <c r="O39" s="651">
        <v>0</v>
      </c>
      <c r="P39" s="650">
        <v>302</v>
      </c>
      <c r="Q39" s="650"/>
      <c r="R39" s="650"/>
      <c r="S39" s="650">
        <v>302</v>
      </c>
      <c r="T39" s="650">
        <v>7252</v>
      </c>
      <c r="U39" s="652"/>
      <c r="V39" s="652"/>
      <c r="W39" s="652"/>
      <c r="X39" s="652"/>
      <c r="Z39" s="652"/>
      <c r="AA39" s="564"/>
      <c r="AB39" s="564"/>
      <c r="AC39" s="564"/>
      <c r="AD39" s="564"/>
      <c r="AE39" s="564"/>
      <c r="AF39" s="564"/>
      <c r="AG39" s="564"/>
      <c r="AH39" s="564"/>
      <c r="AI39" s="564"/>
    </row>
    <row r="40" spans="1:38" s="653" customFormat="1" ht="11.25" customHeight="1">
      <c r="A40" s="643">
        <v>3</v>
      </c>
      <c r="B40" s="644">
        <v>1015</v>
      </c>
      <c r="C40" s="645" t="s">
        <v>173</v>
      </c>
      <c r="D40" s="646" t="s">
        <v>428</v>
      </c>
      <c r="E40" s="647" t="s">
        <v>477</v>
      </c>
      <c r="F40" s="648">
        <v>40000</v>
      </c>
      <c r="G40" s="649">
        <v>856</v>
      </c>
      <c r="H40" s="650"/>
      <c r="I40" s="650"/>
      <c r="J40" s="650"/>
      <c r="K40" s="650"/>
      <c r="L40" s="650"/>
      <c r="M40" s="650"/>
      <c r="N40" s="650">
        <v>40856</v>
      </c>
      <c r="O40" s="651">
        <v>1275</v>
      </c>
      <c r="P40" s="650">
        <v>600</v>
      </c>
      <c r="Q40" s="650"/>
      <c r="R40" s="650"/>
      <c r="S40" s="650">
        <v>1875</v>
      </c>
      <c r="T40" s="650">
        <v>38981</v>
      </c>
      <c r="U40" s="652"/>
      <c r="V40" s="652"/>
      <c r="W40" s="652"/>
      <c r="X40" s="652"/>
      <c r="Z40" s="652"/>
      <c r="AA40" s="564"/>
      <c r="AB40" s="564"/>
      <c r="AC40" s="564"/>
      <c r="AD40" s="564"/>
      <c r="AE40" s="564"/>
      <c r="AF40" s="564"/>
      <c r="AG40" s="564"/>
      <c r="AH40" s="564"/>
      <c r="AI40" s="564"/>
    </row>
    <row r="41" spans="1:38" s="653" customFormat="1" ht="15">
      <c r="A41" s="654"/>
      <c r="B41" s="655"/>
      <c r="C41" s="655"/>
      <c r="D41" s="656" t="s">
        <v>198</v>
      </c>
      <c r="E41" s="657"/>
      <c r="F41" s="658">
        <v>59554</v>
      </c>
      <c r="G41" s="658">
        <v>856</v>
      </c>
      <c r="H41" s="658">
        <v>0</v>
      </c>
      <c r="I41" s="658">
        <v>0</v>
      </c>
      <c r="J41" s="658">
        <v>0</v>
      </c>
      <c r="K41" s="658">
        <v>0</v>
      </c>
      <c r="L41" s="658">
        <v>0</v>
      </c>
      <c r="M41" s="658">
        <v>0</v>
      </c>
      <c r="N41" s="658">
        <v>60410</v>
      </c>
      <c r="O41" s="658">
        <v>1275</v>
      </c>
      <c r="P41" s="658">
        <v>1382</v>
      </c>
      <c r="Q41" s="658">
        <v>0</v>
      </c>
      <c r="R41" s="658">
        <v>0</v>
      </c>
      <c r="S41" s="658">
        <v>2657</v>
      </c>
      <c r="T41" s="659">
        <v>57753</v>
      </c>
      <c r="U41" s="651"/>
      <c r="V41" s="660"/>
      <c r="W41" s="658"/>
      <c r="X41" s="658"/>
      <c r="Y41" s="658"/>
      <c r="AA41" s="564"/>
      <c r="AB41" s="564"/>
      <c r="AC41" s="564"/>
      <c r="AD41" s="564"/>
      <c r="AE41" s="564"/>
      <c r="AF41" s="564"/>
      <c r="AG41" s="564"/>
      <c r="AH41" s="564"/>
      <c r="AI41" s="564"/>
      <c r="AJ41" s="652"/>
      <c r="AK41" s="652"/>
      <c r="AL41" s="652"/>
    </row>
    <row r="42" spans="1:38" s="653" customFormat="1" ht="15.75" thickBot="1">
      <c r="A42" s="661"/>
      <c r="B42" s="662"/>
      <c r="C42" s="662"/>
      <c r="D42" s="663" t="s">
        <v>197</v>
      </c>
      <c r="E42" s="664"/>
      <c r="F42" s="665">
        <v>537070</v>
      </c>
      <c r="G42" s="665">
        <v>19704</v>
      </c>
      <c r="H42" s="665">
        <v>15500</v>
      </c>
      <c r="I42" s="665">
        <v>12000</v>
      </c>
      <c r="J42" s="665">
        <v>16000</v>
      </c>
      <c r="K42" s="665">
        <v>24350</v>
      </c>
      <c r="L42" s="665">
        <v>16500</v>
      </c>
      <c r="M42" s="665">
        <v>19500</v>
      </c>
      <c r="N42" s="665">
        <v>660624</v>
      </c>
      <c r="O42" s="665">
        <v>44842</v>
      </c>
      <c r="P42" s="665">
        <v>8222</v>
      </c>
      <c r="Q42" s="665">
        <v>0</v>
      </c>
      <c r="R42" s="665">
        <v>0</v>
      </c>
      <c r="S42" s="665">
        <v>53064</v>
      </c>
      <c r="T42" s="666">
        <v>607560</v>
      </c>
      <c r="U42" s="652"/>
      <c r="V42" s="665"/>
      <c r="W42" s="665"/>
      <c r="X42" s="665"/>
      <c r="Y42" s="665"/>
      <c r="AA42" s="564"/>
      <c r="AB42" s="564"/>
      <c r="AC42" s="564"/>
      <c r="AD42" s="564"/>
      <c r="AE42" s="564"/>
      <c r="AF42" s="564"/>
      <c r="AG42" s="564"/>
      <c r="AH42" s="564"/>
      <c r="AI42" s="564"/>
      <c r="AJ42" s="652"/>
      <c r="AK42" s="652"/>
      <c r="AL42" s="652"/>
    </row>
    <row r="43" spans="1:38" customFormat="1" ht="22.5" thickTop="1"/>
    <row r="44" spans="1:38" customFormat="1"/>
    <row r="45" spans="1:38" customFormat="1"/>
    <row r="46" spans="1:38" customFormat="1"/>
    <row r="47" spans="1:38" customFormat="1"/>
    <row r="48" spans="1:38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  <row r="111" customFormat="1"/>
    <row r="112" customFormat="1"/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  <row r="128" customFormat="1"/>
    <row r="129" customFormat="1"/>
    <row r="130" customFormat="1"/>
    <row r="131" customFormat="1"/>
    <row r="132" customFormat="1"/>
    <row r="133" customFormat="1"/>
    <row r="134" customFormat="1"/>
    <row r="135" customFormat="1"/>
    <row r="136" customFormat="1"/>
    <row r="137" customFormat="1"/>
    <row r="138" customFormat="1"/>
    <row r="139" customFormat="1"/>
    <row r="140" customFormat="1"/>
    <row r="141" customFormat="1"/>
    <row r="142" customFormat="1"/>
    <row r="143" customFormat="1"/>
    <row r="144" customFormat="1"/>
    <row r="145" customFormat="1"/>
    <row r="146" customFormat="1"/>
    <row r="147" customFormat="1"/>
    <row r="148" customFormat="1"/>
    <row r="149" customFormat="1"/>
    <row r="150" customFormat="1"/>
    <row r="151" customFormat="1"/>
    <row r="152" customFormat="1"/>
    <row r="153" customFormat="1"/>
    <row r="154" customFormat="1"/>
    <row r="155" customFormat="1"/>
    <row r="156" customFormat="1"/>
    <row r="157" customFormat="1"/>
    <row r="158" customFormat="1"/>
    <row r="159" customFormat="1"/>
    <row r="160" customFormat="1"/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</sheetData>
  <phoneticPr fontId="27" type="noConversion"/>
  <printOptions horizontalCentered="1"/>
  <pageMargins left="0.24" right="0.22" top="0.3" bottom="0.44" header="0.17" footer="0"/>
  <pageSetup paperSize="9" scale="76" fitToHeight="45" orientation="landscape" blackAndWhite="1" horizontalDpi="360" verticalDpi="360" r:id="rId1"/>
  <headerFooter alignWithMargins="0">
    <oddFooter>&amp;LPayroll detail&amp;RPage &amp;P</oddFooter>
  </headerFooter>
  <rowBreaks count="5" manualBreakCount="5">
    <brk id="10" max="19" man="1"/>
    <brk id="15" max="19" man="1"/>
    <brk id="23" max="19" man="1"/>
    <brk id="28" max="19" man="1"/>
    <brk id="34" max="19" man="1"/>
  </rowBreaks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1" enableFormatConditionsCalculation="0">
    <tabColor indexed="21"/>
    <pageSetUpPr fitToPage="1"/>
  </sheetPr>
  <dimension ref="A1:AB79"/>
  <sheetViews>
    <sheetView showGridLines="0" workbookViewId="0">
      <pane xSplit="15" topLeftCell="P1" activePane="topRight" state="frozen"/>
      <selection activeCell="A10" sqref="A10"/>
      <selection pane="topRight" activeCell="A66" sqref="A66:IV69"/>
    </sheetView>
  </sheetViews>
  <sheetFormatPr defaultRowHeight="21.75"/>
  <cols>
    <col min="1" max="1" width="4.7109375" customWidth="1"/>
    <col min="2" max="2" width="5.7109375" customWidth="1"/>
    <col min="3" max="15" width="2.7109375" customWidth="1"/>
    <col min="16" max="16" width="12.42578125" bestFit="1" customWidth="1"/>
    <col min="17" max="17" width="4.7109375" customWidth="1"/>
    <col min="18" max="18" width="3.5703125" bestFit="1" customWidth="1"/>
    <col min="19" max="19" width="4.85546875" bestFit="1" customWidth="1"/>
    <col min="20" max="20" width="12.7109375" customWidth="1"/>
    <col min="21" max="21" width="2.5703125" bestFit="1" customWidth="1"/>
    <col min="22" max="22" width="10.7109375" customWidth="1"/>
    <col min="23" max="23" width="8.140625" customWidth="1"/>
    <col min="24" max="24" width="12.7109375" customWidth="1"/>
    <col min="25" max="25" width="2.5703125" customWidth="1"/>
    <col min="26" max="26" width="12.5703125" customWidth="1"/>
    <col min="27" max="27" width="2.5703125" customWidth="1"/>
    <col min="28" max="28" width="3.140625" bestFit="1" customWidth="1"/>
  </cols>
  <sheetData>
    <row r="1" spans="1:28" s="198" customFormat="1" ht="10.5">
      <c r="A1" s="513"/>
      <c r="P1" s="514"/>
      <c r="T1" s="515"/>
    </row>
    <row r="2" spans="1:28" s="198" customFormat="1" ht="10.5">
      <c r="A2" s="513"/>
      <c r="P2" s="514"/>
      <c r="T2" s="515"/>
      <c r="W2" s="516" t="str">
        <f>"เลขประจำตัวผู้เสียภาษีอากร     "&amp;CompanyProfile!$C$5</f>
        <v>เลขประจำตัวผู้เสียภาษีอากร     1234567890123</v>
      </c>
      <c r="X2" s="322"/>
    </row>
    <row r="3" spans="1:28" s="198" customFormat="1" ht="22.5">
      <c r="A3" s="513" t="s">
        <v>120</v>
      </c>
      <c r="B3" s="517" t="s">
        <v>193</v>
      </c>
      <c r="G3" s="738" t="s">
        <v>448</v>
      </c>
      <c r="H3" s="739"/>
      <c r="I3" s="739"/>
      <c r="J3" s="739"/>
      <c r="K3" s="739"/>
      <c r="L3" s="739"/>
      <c r="M3" s="739"/>
      <c r="N3" s="739"/>
      <c r="O3" s="739"/>
      <c r="P3" s="739"/>
      <c r="Q3" s="739"/>
      <c r="R3" s="739"/>
      <c r="S3" s="739"/>
      <c r="T3" s="739"/>
      <c r="U3" s="739"/>
      <c r="V3" s="740"/>
      <c r="W3" s="198" t="s">
        <v>119</v>
      </c>
      <c r="X3" s="322"/>
    </row>
    <row r="4" spans="1:28" s="198" customFormat="1" ht="10.5">
      <c r="G4" s="518" t="s">
        <v>449</v>
      </c>
      <c r="H4" s="519"/>
      <c r="I4" s="520"/>
      <c r="J4" s="520"/>
      <c r="K4" s="520"/>
      <c r="L4" s="520"/>
      <c r="M4" s="520"/>
      <c r="N4" s="520" t="s">
        <v>121</v>
      </c>
      <c r="O4" s="520"/>
      <c r="P4" s="521"/>
      <c r="Q4" s="522" t="s">
        <v>450</v>
      </c>
      <c r="R4" s="522" t="s">
        <v>122</v>
      </c>
      <c r="S4" s="522"/>
      <c r="T4" s="523"/>
      <c r="U4" s="522"/>
      <c r="V4" s="524"/>
      <c r="AB4" s="525"/>
    </row>
    <row r="5" spans="1:28" s="528" customFormat="1" ht="9">
      <c r="A5" s="526" t="s">
        <v>123</v>
      </c>
      <c r="B5" s="526"/>
      <c r="C5" s="726" t="s">
        <v>124</v>
      </c>
      <c r="D5" s="727"/>
      <c r="E5" s="727"/>
      <c r="F5" s="727"/>
      <c r="G5" s="727"/>
      <c r="H5" s="727"/>
      <c r="I5" s="727"/>
      <c r="J5" s="727"/>
      <c r="K5" s="727"/>
      <c r="L5" s="727"/>
      <c r="M5" s="727"/>
      <c r="N5" s="727"/>
      <c r="O5" s="728"/>
      <c r="P5" s="527" t="s">
        <v>125</v>
      </c>
      <c r="Q5" s="736" t="s">
        <v>126</v>
      </c>
      <c r="R5" s="741"/>
      <c r="S5" s="741"/>
      <c r="T5" s="741"/>
      <c r="U5" s="737"/>
      <c r="V5" s="734" t="s">
        <v>127</v>
      </c>
      <c r="W5" s="742"/>
      <c r="X5" s="742"/>
      <c r="Y5" s="735"/>
      <c r="Z5" s="734" t="s">
        <v>128</v>
      </c>
      <c r="AA5" s="742"/>
      <c r="AB5" s="735"/>
    </row>
    <row r="6" spans="1:28" s="528" customFormat="1" ht="9">
      <c r="A6" s="529" t="s">
        <v>129</v>
      </c>
      <c r="B6" s="529"/>
      <c r="C6" s="530"/>
      <c r="D6" s="530"/>
      <c r="E6" s="530"/>
      <c r="F6" s="726" t="s">
        <v>130</v>
      </c>
      <c r="G6" s="727"/>
      <c r="H6" s="727"/>
      <c r="I6" s="727"/>
      <c r="J6" s="727"/>
      <c r="K6" s="727"/>
      <c r="L6" s="727"/>
      <c r="M6" s="727"/>
      <c r="N6" s="727"/>
      <c r="O6" s="728"/>
      <c r="P6" s="531" t="s">
        <v>131</v>
      </c>
      <c r="Q6" s="532" t="s">
        <v>132</v>
      </c>
      <c r="R6" s="726" t="s">
        <v>133</v>
      </c>
      <c r="S6" s="728"/>
      <c r="T6" s="729" t="s">
        <v>134</v>
      </c>
      <c r="U6" s="730"/>
      <c r="V6" s="712" t="s">
        <v>135</v>
      </c>
      <c r="W6" s="731"/>
      <c r="X6" s="731"/>
      <c r="Y6" s="713"/>
      <c r="Z6" s="712" t="s">
        <v>136</v>
      </c>
      <c r="AA6" s="731"/>
      <c r="AB6" s="713"/>
    </row>
    <row r="7" spans="1:28" s="528" customFormat="1" ht="9">
      <c r="A7" s="529"/>
      <c r="B7" s="529"/>
      <c r="C7" s="530"/>
      <c r="D7" s="530"/>
      <c r="E7" s="530"/>
      <c r="F7" s="536"/>
      <c r="G7" s="530"/>
      <c r="H7" s="530"/>
      <c r="I7" s="530"/>
      <c r="J7" s="530"/>
      <c r="K7" s="530"/>
      <c r="L7" s="530"/>
      <c r="M7" s="530"/>
      <c r="N7" s="530"/>
      <c r="O7" s="537"/>
      <c r="P7" s="531" t="s">
        <v>137</v>
      </c>
      <c r="Q7" s="538" t="s">
        <v>138</v>
      </c>
      <c r="R7" s="530" t="s">
        <v>139</v>
      </c>
      <c r="S7" s="532" t="s">
        <v>140</v>
      </c>
      <c r="T7" s="732"/>
      <c r="U7" s="733"/>
      <c r="V7" s="532" t="s">
        <v>141</v>
      </c>
      <c r="W7" s="532" t="s">
        <v>142</v>
      </c>
      <c r="X7" s="734" t="s">
        <v>143</v>
      </c>
      <c r="Y7" s="735"/>
      <c r="Z7" s="539"/>
      <c r="AA7" s="540"/>
      <c r="AB7" s="541"/>
    </row>
    <row r="8" spans="1:28" s="528" customFormat="1" ht="9">
      <c r="A8" s="529"/>
      <c r="B8" s="542"/>
      <c r="C8" s="543" t="s">
        <v>144</v>
      </c>
      <c r="D8" s="543"/>
      <c r="E8" s="543"/>
      <c r="F8" s="543"/>
      <c r="G8" s="543"/>
      <c r="H8" s="543"/>
      <c r="I8" s="543"/>
      <c r="J8" s="543"/>
      <c r="K8" s="543"/>
      <c r="L8" s="543"/>
      <c r="M8" s="543"/>
      <c r="N8" s="543"/>
      <c r="O8" s="541"/>
      <c r="P8" s="531" t="s">
        <v>145</v>
      </c>
      <c r="Q8" s="538" t="s">
        <v>146</v>
      </c>
      <c r="R8" s="543"/>
      <c r="S8" s="544"/>
      <c r="T8" s="736" t="s">
        <v>147</v>
      </c>
      <c r="U8" s="737"/>
      <c r="V8" s="544"/>
      <c r="W8" s="538" t="s">
        <v>148</v>
      </c>
      <c r="X8" s="712" t="s">
        <v>149</v>
      </c>
      <c r="Y8" s="713"/>
      <c r="Z8" s="724" t="s">
        <v>147</v>
      </c>
      <c r="AA8" s="725"/>
      <c r="AB8" s="537" t="s">
        <v>150</v>
      </c>
    </row>
    <row r="9" spans="1:28" s="528" customFormat="1" ht="9">
      <c r="A9" s="533"/>
      <c r="B9" s="545"/>
      <c r="C9" s="546"/>
      <c r="D9" s="546"/>
      <c r="E9" s="546"/>
      <c r="F9" s="546"/>
      <c r="G9" s="546"/>
      <c r="H9" s="546"/>
      <c r="I9" s="546"/>
      <c r="J9" s="546"/>
      <c r="K9" s="546"/>
      <c r="L9" s="546"/>
      <c r="M9" s="546"/>
      <c r="N9" s="546"/>
      <c r="O9" s="547"/>
      <c r="P9" s="548"/>
      <c r="Q9" s="549"/>
      <c r="R9" s="546"/>
      <c r="S9" s="549"/>
      <c r="T9" s="550" t="s">
        <v>151</v>
      </c>
      <c r="U9" s="551" t="s">
        <v>152</v>
      </c>
      <c r="V9" s="549"/>
      <c r="W9" s="552" t="s">
        <v>153</v>
      </c>
      <c r="X9" s="534" t="s">
        <v>151</v>
      </c>
      <c r="Y9" s="551" t="s">
        <v>152</v>
      </c>
      <c r="Z9" s="551" t="s">
        <v>151</v>
      </c>
      <c r="AA9" s="551" t="s">
        <v>152</v>
      </c>
      <c r="AB9" s="535" t="s">
        <v>154</v>
      </c>
    </row>
    <row r="10" spans="1:28" s="586" customFormat="1" ht="11.25">
      <c r="A10" s="576">
        <v>1</v>
      </c>
      <c r="B10" s="577"/>
      <c r="C10" s="578">
        <v>1</v>
      </c>
      <c r="D10" s="579">
        <v>2</v>
      </c>
      <c r="E10" s="579">
        <v>3</v>
      </c>
      <c r="F10" s="579">
        <v>4</v>
      </c>
      <c r="G10" s="579">
        <v>5</v>
      </c>
      <c r="H10" s="579">
        <v>6</v>
      </c>
      <c r="I10" s="579">
        <v>7</v>
      </c>
      <c r="J10" s="579">
        <v>8</v>
      </c>
      <c r="K10" s="579">
        <v>9</v>
      </c>
      <c r="L10" s="579">
        <v>0</v>
      </c>
      <c r="M10" s="579">
        <v>1</v>
      </c>
      <c r="N10" s="579">
        <v>2</v>
      </c>
      <c r="O10" s="580">
        <v>3</v>
      </c>
      <c r="P10" s="581"/>
      <c r="Q10" s="582"/>
      <c r="R10" s="583"/>
      <c r="S10" s="582"/>
      <c r="T10" s="584"/>
      <c r="U10" s="577"/>
      <c r="V10" s="582"/>
      <c r="W10" s="582"/>
      <c r="X10" s="585"/>
      <c r="Y10" s="583"/>
      <c r="Z10" s="585"/>
      <c r="AA10" s="583"/>
      <c r="AB10" s="582"/>
    </row>
    <row r="11" spans="1:28" s="586" customFormat="1" ht="11.25" hidden="1">
      <c r="A11" s="576"/>
      <c r="B11" s="587"/>
      <c r="C11" s="588"/>
      <c r="D11" s="588"/>
      <c r="E11" s="588"/>
      <c r="F11" s="578">
        <v>1</v>
      </c>
      <c r="G11" s="579">
        <v>2</v>
      </c>
      <c r="H11" s="579">
        <v>3</v>
      </c>
      <c r="I11" s="579">
        <v>4</v>
      </c>
      <c r="J11" s="579">
        <v>5</v>
      </c>
      <c r="K11" s="579">
        <v>6</v>
      </c>
      <c r="L11" s="579">
        <v>7</v>
      </c>
      <c r="M11" s="579">
        <v>8</v>
      </c>
      <c r="N11" s="579">
        <v>9</v>
      </c>
      <c r="O11" s="579">
        <v>0</v>
      </c>
      <c r="P11" s="589"/>
      <c r="Q11" s="576"/>
      <c r="R11" s="588"/>
      <c r="S11" s="576"/>
      <c r="T11" s="590"/>
      <c r="U11" s="587"/>
      <c r="V11" s="576"/>
      <c r="W11" s="576"/>
      <c r="X11" s="591"/>
      <c r="Y11" s="588"/>
      <c r="Z11" s="591"/>
      <c r="AA11" s="588"/>
      <c r="AB11" s="576"/>
    </row>
    <row r="12" spans="1:28" s="586" customFormat="1" ht="11.25">
      <c r="A12" s="576"/>
      <c r="B12" s="587" t="s">
        <v>482</v>
      </c>
      <c r="C12" s="592"/>
      <c r="D12" s="588"/>
      <c r="E12" s="588"/>
      <c r="F12" s="588"/>
      <c r="G12" s="588"/>
      <c r="H12" s="588"/>
      <c r="I12" s="588"/>
      <c r="J12" s="588"/>
      <c r="K12" s="588"/>
      <c r="L12" s="588"/>
      <c r="M12" s="588"/>
      <c r="N12" s="588"/>
      <c r="O12" s="593"/>
      <c r="P12" s="589"/>
      <c r="Q12" s="576" t="s">
        <v>421</v>
      </c>
      <c r="R12" s="588">
        <v>0</v>
      </c>
      <c r="S12" s="576">
        <v>0</v>
      </c>
      <c r="T12" s="591">
        <v>217000</v>
      </c>
      <c r="U12" s="594"/>
      <c r="V12" s="576"/>
      <c r="W12" s="576"/>
      <c r="X12" s="591">
        <v>171500</v>
      </c>
      <c r="Y12" s="594"/>
      <c r="Z12" s="591">
        <v>24339</v>
      </c>
      <c r="AA12" s="594"/>
      <c r="AB12" s="595" t="s">
        <v>521</v>
      </c>
    </row>
    <row r="13" spans="1:28" s="586" customFormat="1" ht="7.5" customHeight="1">
      <c r="A13" s="596"/>
      <c r="B13" s="597"/>
      <c r="C13" s="598"/>
      <c r="D13" s="598"/>
      <c r="E13" s="598"/>
      <c r="F13" s="598"/>
      <c r="G13" s="598"/>
      <c r="H13" s="598"/>
      <c r="I13" s="598"/>
      <c r="J13" s="598"/>
      <c r="K13" s="598"/>
      <c r="L13" s="598"/>
      <c r="M13" s="598"/>
      <c r="N13" s="598"/>
      <c r="O13" s="599"/>
      <c r="P13" s="600"/>
      <c r="Q13" s="596"/>
      <c r="R13" s="598"/>
      <c r="S13" s="596"/>
      <c r="T13" s="601"/>
      <c r="U13" s="597"/>
      <c r="V13" s="596"/>
      <c r="W13" s="596"/>
      <c r="X13" s="602"/>
      <c r="Y13" s="598"/>
      <c r="Z13" s="602"/>
      <c r="AA13" s="598"/>
      <c r="AB13" s="596"/>
    </row>
    <row r="14" spans="1:28" s="586" customFormat="1" ht="11.25">
      <c r="A14" s="576">
        <v>2</v>
      </c>
      <c r="B14" s="577"/>
      <c r="C14" s="578">
        <v>1</v>
      </c>
      <c r="D14" s="579">
        <v>2</v>
      </c>
      <c r="E14" s="579">
        <v>3</v>
      </c>
      <c r="F14" s="579">
        <v>4</v>
      </c>
      <c r="G14" s="579">
        <v>5</v>
      </c>
      <c r="H14" s="579">
        <v>6</v>
      </c>
      <c r="I14" s="579">
        <v>7</v>
      </c>
      <c r="J14" s="579">
        <v>8</v>
      </c>
      <c r="K14" s="579">
        <v>9</v>
      </c>
      <c r="L14" s="579">
        <v>0</v>
      </c>
      <c r="M14" s="579">
        <v>1</v>
      </c>
      <c r="N14" s="579">
        <v>2</v>
      </c>
      <c r="O14" s="580">
        <v>3</v>
      </c>
      <c r="P14" s="581"/>
      <c r="Q14" s="582"/>
      <c r="R14" s="583"/>
      <c r="S14" s="582"/>
      <c r="T14" s="584"/>
      <c r="U14" s="577"/>
      <c r="V14" s="582"/>
      <c r="W14" s="582"/>
      <c r="X14" s="585"/>
      <c r="Y14" s="583"/>
      <c r="Z14" s="585"/>
      <c r="AA14" s="583"/>
      <c r="AB14" s="582"/>
    </row>
    <row r="15" spans="1:28" s="586" customFormat="1" ht="11.25" hidden="1">
      <c r="A15" s="576"/>
      <c r="B15" s="587"/>
      <c r="C15" s="588"/>
      <c r="D15" s="588"/>
      <c r="E15" s="588"/>
      <c r="F15" s="578">
        <v>1</v>
      </c>
      <c r="G15" s="579">
        <v>2</v>
      </c>
      <c r="H15" s="579">
        <v>3</v>
      </c>
      <c r="I15" s="579">
        <v>4</v>
      </c>
      <c r="J15" s="579">
        <v>5</v>
      </c>
      <c r="K15" s="579">
        <v>6</v>
      </c>
      <c r="L15" s="579">
        <v>7</v>
      </c>
      <c r="M15" s="579">
        <v>8</v>
      </c>
      <c r="N15" s="579">
        <v>9</v>
      </c>
      <c r="O15" s="579">
        <v>0</v>
      </c>
      <c r="P15" s="589"/>
      <c r="Q15" s="576"/>
      <c r="R15" s="588"/>
      <c r="S15" s="576"/>
      <c r="T15" s="590"/>
      <c r="U15" s="587"/>
      <c r="V15" s="576"/>
      <c r="W15" s="576"/>
      <c r="X15" s="591"/>
      <c r="Y15" s="588"/>
      <c r="Z15" s="591"/>
      <c r="AA15" s="588"/>
      <c r="AB15" s="576"/>
    </row>
    <row r="16" spans="1:28" s="586" customFormat="1" ht="11.25">
      <c r="A16" s="576"/>
      <c r="B16" s="587" t="s">
        <v>499</v>
      </c>
      <c r="C16" s="592"/>
      <c r="D16" s="588"/>
      <c r="E16" s="588"/>
      <c r="F16" s="588"/>
      <c r="G16" s="588"/>
      <c r="H16" s="588"/>
      <c r="I16" s="588"/>
      <c r="J16" s="588"/>
      <c r="K16" s="588"/>
      <c r="L16" s="588"/>
      <c r="M16" s="588"/>
      <c r="N16" s="588"/>
      <c r="O16" s="593"/>
      <c r="P16" s="589"/>
      <c r="Q16" s="576" t="s">
        <v>221</v>
      </c>
      <c r="R16" s="588">
        <v>1</v>
      </c>
      <c r="S16" s="576">
        <v>0</v>
      </c>
      <c r="T16" s="591">
        <v>0</v>
      </c>
      <c r="U16" s="594"/>
      <c r="V16" s="576"/>
      <c r="W16" s="576"/>
      <c r="X16" s="591">
        <v>113000</v>
      </c>
      <c r="Y16" s="594"/>
      <c r="Z16" s="591">
        <v>11072</v>
      </c>
      <c r="AA16" s="594"/>
      <c r="AB16" s="595" t="s">
        <v>521</v>
      </c>
    </row>
    <row r="17" spans="1:28" s="586" customFormat="1" ht="7.5" customHeight="1">
      <c r="A17" s="596"/>
      <c r="B17" s="597"/>
      <c r="C17" s="598"/>
      <c r="D17" s="598"/>
      <c r="E17" s="598"/>
      <c r="F17" s="598"/>
      <c r="G17" s="598"/>
      <c r="H17" s="598"/>
      <c r="I17" s="598"/>
      <c r="J17" s="598"/>
      <c r="K17" s="598"/>
      <c r="L17" s="598"/>
      <c r="M17" s="598"/>
      <c r="N17" s="598"/>
      <c r="O17" s="599"/>
      <c r="P17" s="600"/>
      <c r="Q17" s="596"/>
      <c r="R17" s="598"/>
      <c r="S17" s="596"/>
      <c r="T17" s="601"/>
      <c r="U17" s="597"/>
      <c r="V17" s="596"/>
      <c r="W17" s="596"/>
      <c r="X17" s="602"/>
      <c r="Y17" s="598"/>
      <c r="Z17" s="602"/>
      <c r="AA17" s="598"/>
      <c r="AB17" s="596"/>
    </row>
    <row r="18" spans="1:28" s="586" customFormat="1" ht="11.25">
      <c r="A18" s="576">
        <v>3</v>
      </c>
      <c r="B18" s="577"/>
      <c r="C18" s="578">
        <v>1</v>
      </c>
      <c r="D18" s="579">
        <v>2</v>
      </c>
      <c r="E18" s="579">
        <v>3</v>
      </c>
      <c r="F18" s="579">
        <v>4</v>
      </c>
      <c r="G18" s="579">
        <v>5</v>
      </c>
      <c r="H18" s="579">
        <v>6</v>
      </c>
      <c r="I18" s="579">
        <v>7</v>
      </c>
      <c r="J18" s="579">
        <v>8</v>
      </c>
      <c r="K18" s="579">
        <v>9</v>
      </c>
      <c r="L18" s="579">
        <v>0</v>
      </c>
      <c r="M18" s="579">
        <v>1</v>
      </c>
      <c r="N18" s="579">
        <v>2</v>
      </c>
      <c r="O18" s="580">
        <v>3</v>
      </c>
      <c r="P18" s="581"/>
      <c r="Q18" s="582"/>
      <c r="R18" s="583"/>
      <c r="S18" s="582"/>
      <c r="T18" s="584"/>
      <c r="U18" s="577"/>
      <c r="V18" s="582"/>
      <c r="W18" s="582"/>
      <c r="X18" s="585"/>
      <c r="Y18" s="583"/>
      <c r="Z18" s="585"/>
      <c r="AA18" s="583"/>
      <c r="AB18" s="582"/>
    </row>
    <row r="19" spans="1:28" s="586" customFormat="1" ht="11.25" hidden="1">
      <c r="A19" s="576"/>
      <c r="B19" s="587"/>
      <c r="C19" s="588"/>
      <c r="D19" s="588"/>
      <c r="E19" s="588"/>
      <c r="F19" s="578">
        <v>1</v>
      </c>
      <c r="G19" s="579">
        <v>2</v>
      </c>
      <c r="H19" s="579">
        <v>3</v>
      </c>
      <c r="I19" s="579">
        <v>4</v>
      </c>
      <c r="J19" s="579">
        <v>5</v>
      </c>
      <c r="K19" s="579">
        <v>6</v>
      </c>
      <c r="L19" s="579">
        <v>7</v>
      </c>
      <c r="M19" s="579">
        <v>8</v>
      </c>
      <c r="N19" s="579">
        <v>9</v>
      </c>
      <c r="O19" s="579">
        <v>0</v>
      </c>
      <c r="P19" s="589"/>
      <c r="Q19" s="576"/>
      <c r="R19" s="588"/>
      <c r="S19" s="576"/>
      <c r="T19" s="590"/>
      <c r="U19" s="587"/>
      <c r="V19" s="576"/>
      <c r="W19" s="576"/>
      <c r="X19" s="591"/>
      <c r="Y19" s="588"/>
      <c r="Z19" s="591"/>
      <c r="AA19" s="588"/>
      <c r="AB19" s="576"/>
    </row>
    <row r="20" spans="1:28" s="586" customFormat="1" ht="11.25">
      <c r="A20" s="576"/>
      <c r="B20" s="587" t="s">
        <v>500</v>
      </c>
      <c r="C20" s="592"/>
      <c r="D20" s="588"/>
      <c r="E20" s="588"/>
      <c r="F20" s="588"/>
      <c r="G20" s="588"/>
      <c r="H20" s="588"/>
      <c r="I20" s="588"/>
      <c r="J20" s="588"/>
      <c r="K20" s="588"/>
      <c r="L20" s="588"/>
      <c r="M20" s="588"/>
      <c r="N20" s="588"/>
      <c r="O20" s="593"/>
      <c r="P20" s="589"/>
      <c r="Q20" s="576" t="s">
        <v>421</v>
      </c>
      <c r="R20" s="588">
        <v>0</v>
      </c>
      <c r="S20" s="576">
        <v>0</v>
      </c>
      <c r="T20" s="591">
        <v>0</v>
      </c>
      <c r="U20" s="594"/>
      <c r="V20" s="576"/>
      <c r="W20" s="576"/>
      <c r="X20" s="591">
        <v>12000</v>
      </c>
      <c r="Y20" s="594"/>
      <c r="Z20" s="591">
        <v>0</v>
      </c>
      <c r="AA20" s="594"/>
      <c r="AB20" s="595" t="s">
        <v>521</v>
      </c>
    </row>
    <row r="21" spans="1:28" s="586" customFormat="1" ht="7.5" customHeight="1">
      <c r="A21" s="596"/>
      <c r="B21" s="597"/>
      <c r="C21" s="598"/>
      <c r="D21" s="598"/>
      <c r="E21" s="598"/>
      <c r="F21" s="598"/>
      <c r="G21" s="598"/>
      <c r="H21" s="598"/>
      <c r="I21" s="598"/>
      <c r="J21" s="598"/>
      <c r="K21" s="598"/>
      <c r="L21" s="598"/>
      <c r="M21" s="598"/>
      <c r="N21" s="598"/>
      <c r="O21" s="599"/>
      <c r="P21" s="600"/>
      <c r="Q21" s="596"/>
      <c r="R21" s="598"/>
      <c r="S21" s="596"/>
      <c r="T21" s="601"/>
      <c r="U21" s="597"/>
      <c r="V21" s="596"/>
      <c r="W21" s="596"/>
      <c r="X21" s="602"/>
      <c r="Y21" s="598"/>
      <c r="Z21" s="602"/>
      <c r="AA21" s="598"/>
      <c r="AB21" s="596"/>
    </row>
    <row r="22" spans="1:28" s="586" customFormat="1" ht="11.25">
      <c r="A22" s="576">
        <v>4</v>
      </c>
      <c r="B22" s="577"/>
      <c r="C22" s="578">
        <v>1</v>
      </c>
      <c r="D22" s="579">
        <v>2</v>
      </c>
      <c r="E22" s="579">
        <v>3</v>
      </c>
      <c r="F22" s="579">
        <v>4</v>
      </c>
      <c r="G22" s="579">
        <v>5</v>
      </c>
      <c r="H22" s="579">
        <v>6</v>
      </c>
      <c r="I22" s="579">
        <v>7</v>
      </c>
      <c r="J22" s="579">
        <v>8</v>
      </c>
      <c r="K22" s="579">
        <v>9</v>
      </c>
      <c r="L22" s="579">
        <v>0</v>
      </c>
      <c r="M22" s="579">
        <v>1</v>
      </c>
      <c r="N22" s="579">
        <v>2</v>
      </c>
      <c r="O22" s="580">
        <v>3</v>
      </c>
      <c r="P22" s="581"/>
      <c r="Q22" s="582"/>
      <c r="R22" s="583"/>
      <c r="S22" s="582"/>
      <c r="T22" s="584"/>
      <c r="U22" s="577"/>
      <c r="V22" s="582"/>
      <c r="W22" s="582"/>
      <c r="X22" s="585"/>
      <c r="Y22" s="583"/>
      <c r="Z22" s="585"/>
      <c r="AA22" s="583"/>
      <c r="AB22" s="582"/>
    </row>
    <row r="23" spans="1:28" s="586" customFormat="1" ht="11.25" hidden="1">
      <c r="A23" s="576"/>
      <c r="B23" s="587"/>
      <c r="C23" s="588"/>
      <c r="D23" s="588"/>
      <c r="E23" s="588"/>
      <c r="F23" s="578">
        <v>1</v>
      </c>
      <c r="G23" s="579">
        <v>2</v>
      </c>
      <c r="H23" s="579">
        <v>3</v>
      </c>
      <c r="I23" s="579">
        <v>4</v>
      </c>
      <c r="J23" s="579">
        <v>5</v>
      </c>
      <c r="K23" s="579">
        <v>6</v>
      </c>
      <c r="L23" s="579">
        <v>7</v>
      </c>
      <c r="M23" s="579">
        <v>8</v>
      </c>
      <c r="N23" s="579">
        <v>9</v>
      </c>
      <c r="O23" s="579">
        <v>0</v>
      </c>
      <c r="P23" s="589"/>
      <c r="Q23" s="576"/>
      <c r="R23" s="588"/>
      <c r="S23" s="576"/>
      <c r="T23" s="590"/>
      <c r="U23" s="587"/>
      <c r="V23" s="576"/>
      <c r="W23" s="576"/>
      <c r="X23" s="591"/>
      <c r="Y23" s="588"/>
      <c r="Z23" s="591"/>
      <c r="AA23" s="588"/>
      <c r="AB23" s="576"/>
    </row>
    <row r="24" spans="1:28" s="586" customFormat="1" ht="11.25">
      <c r="A24" s="576"/>
      <c r="B24" s="587" t="s">
        <v>483</v>
      </c>
      <c r="C24" s="592"/>
      <c r="D24" s="588"/>
      <c r="E24" s="588"/>
      <c r="F24" s="588"/>
      <c r="G24" s="588"/>
      <c r="H24" s="588"/>
      <c r="I24" s="588"/>
      <c r="J24" s="588"/>
      <c r="K24" s="588"/>
      <c r="L24" s="588"/>
      <c r="M24" s="588"/>
      <c r="N24" s="588"/>
      <c r="O24" s="593"/>
      <c r="P24" s="589"/>
      <c r="Q24" s="576" t="s">
        <v>421</v>
      </c>
      <c r="R24" s="588">
        <v>0</v>
      </c>
      <c r="S24" s="576">
        <v>0</v>
      </c>
      <c r="T24" s="591">
        <v>0</v>
      </c>
      <c r="U24" s="594"/>
      <c r="V24" s="576"/>
      <c r="W24" s="576"/>
      <c r="X24" s="591">
        <v>38896</v>
      </c>
      <c r="Y24" s="594"/>
      <c r="Z24" s="591">
        <v>1080</v>
      </c>
      <c r="AA24" s="594"/>
      <c r="AB24" s="595" t="s">
        <v>521</v>
      </c>
    </row>
    <row r="25" spans="1:28" s="586" customFormat="1" ht="7.5" customHeight="1">
      <c r="A25" s="596"/>
      <c r="B25" s="597"/>
      <c r="C25" s="598"/>
      <c r="D25" s="598"/>
      <c r="E25" s="598"/>
      <c r="F25" s="598"/>
      <c r="G25" s="598"/>
      <c r="H25" s="598"/>
      <c r="I25" s="598"/>
      <c r="J25" s="598"/>
      <c r="K25" s="598"/>
      <c r="L25" s="598"/>
      <c r="M25" s="598"/>
      <c r="N25" s="598"/>
      <c r="O25" s="599"/>
      <c r="P25" s="600"/>
      <c r="Q25" s="596"/>
      <c r="R25" s="598"/>
      <c r="S25" s="596"/>
      <c r="T25" s="601"/>
      <c r="U25" s="597"/>
      <c r="V25" s="596"/>
      <c r="W25" s="596"/>
      <c r="X25" s="602"/>
      <c r="Y25" s="598"/>
      <c r="Z25" s="602"/>
      <c r="AA25" s="598"/>
      <c r="AB25" s="596"/>
    </row>
    <row r="26" spans="1:28" s="586" customFormat="1" ht="11.25">
      <c r="A26" s="576">
        <v>5</v>
      </c>
      <c r="B26" s="577"/>
      <c r="C26" s="578">
        <v>1</v>
      </c>
      <c r="D26" s="579">
        <v>2</v>
      </c>
      <c r="E26" s="579">
        <v>3</v>
      </c>
      <c r="F26" s="579">
        <v>4</v>
      </c>
      <c r="G26" s="579">
        <v>5</v>
      </c>
      <c r="H26" s="579">
        <v>6</v>
      </c>
      <c r="I26" s="579">
        <v>7</v>
      </c>
      <c r="J26" s="579">
        <v>8</v>
      </c>
      <c r="K26" s="579">
        <v>9</v>
      </c>
      <c r="L26" s="579">
        <v>0</v>
      </c>
      <c r="M26" s="579">
        <v>1</v>
      </c>
      <c r="N26" s="579">
        <v>2</v>
      </c>
      <c r="O26" s="580">
        <v>3</v>
      </c>
      <c r="P26" s="581"/>
      <c r="Q26" s="582"/>
      <c r="R26" s="583"/>
      <c r="S26" s="582"/>
      <c r="T26" s="584"/>
      <c r="U26" s="577"/>
      <c r="V26" s="582"/>
      <c r="W26" s="582"/>
      <c r="X26" s="585"/>
      <c r="Y26" s="583"/>
      <c r="Z26" s="585"/>
      <c r="AA26" s="583"/>
      <c r="AB26" s="582"/>
    </row>
    <row r="27" spans="1:28" s="586" customFormat="1" ht="11.25" hidden="1">
      <c r="A27" s="576"/>
      <c r="B27" s="587"/>
      <c r="C27" s="588"/>
      <c r="D27" s="588"/>
      <c r="E27" s="588"/>
      <c r="F27" s="578">
        <v>1</v>
      </c>
      <c r="G27" s="579">
        <v>2</v>
      </c>
      <c r="H27" s="579">
        <v>3</v>
      </c>
      <c r="I27" s="579">
        <v>4</v>
      </c>
      <c r="J27" s="579">
        <v>5</v>
      </c>
      <c r="K27" s="579">
        <v>6</v>
      </c>
      <c r="L27" s="579">
        <v>7</v>
      </c>
      <c r="M27" s="579">
        <v>8</v>
      </c>
      <c r="N27" s="579">
        <v>9</v>
      </c>
      <c r="O27" s="579">
        <v>0</v>
      </c>
      <c r="P27" s="589"/>
      <c r="Q27" s="576"/>
      <c r="R27" s="588"/>
      <c r="S27" s="576"/>
      <c r="T27" s="590"/>
      <c r="U27" s="587"/>
      <c r="V27" s="576"/>
      <c r="W27" s="576"/>
      <c r="X27" s="591"/>
      <c r="Y27" s="588"/>
      <c r="Z27" s="591"/>
      <c r="AA27" s="588"/>
      <c r="AB27" s="576"/>
    </row>
    <row r="28" spans="1:28" s="586" customFormat="1" ht="11.25">
      <c r="A28" s="576"/>
      <c r="B28" s="587" t="s">
        <v>501</v>
      </c>
      <c r="C28" s="592"/>
      <c r="D28" s="588"/>
      <c r="E28" s="588"/>
      <c r="F28" s="588"/>
      <c r="G28" s="588"/>
      <c r="H28" s="588"/>
      <c r="I28" s="588"/>
      <c r="J28" s="588"/>
      <c r="K28" s="588"/>
      <c r="L28" s="588"/>
      <c r="M28" s="588"/>
      <c r="N28" s="588"/>
      <c r="O28" s="593"/>
      <c r="P28" s="589"/>
      <c r="Q28" s="576" t="s">
        <v>421</v>
      </c>
      <c r="R28" s="588">
        <v>0</v>
      </c>
      <c r="S28" s="576">
        <v>0</v>
      </c>
      <c r="T28" s="591">
        <v>0</v>
      </c>
      <c r="U28" s="594"/>
      <c r="V28" s="576"/>
      <c r="W28" s="576"/>
      <c r="X28" s="591">
        <v>6000</v>
      </c>
      <c r="Y28" s="594"/>
      <c r="Z28" s="591">
        <v>0</v>
      </c>
      <c r="AA28" s="594"/>
      <c r="AB28" s="595" t="s">
        <v>521</v>
      </c>
    </row>
    <row r="29" spans="1:28" s="586" customFormat="1" ht="7.5" customHeight="1">
      <c r="A29" s="596"/>
      <c r="B29" s="597"/>
      <c r="C29" s="598"/>
      <c r="D29" s="598"/>
      <c r="E29" s="598"/>
      <c r="F29" s="598"/>
      <c r="G29" s="598"/>
      <c r="H29" s="598"/>
      <c r="I29" s="598"/>
      <c r="J29" s="598"/>
      <c r="K29" s="598"/>
      <c r="L29" s="598"/>
      <c r="M29" s="598"/>
      <c r="N29" s="598"/>
      <c r="O29" s="599"/>
      <c r="P29" s="600"/>
      <c r="Q29" s="596"/>
      <c r="R29" s="598"/>
      <c r="S29" s="596"/>
      <c r="T29" s="601"/>
      <c r="U29" s="597"/>
      <c r="V29" s="596"/>
      <c r="W29" s="596"/>
      <c r="X29" s="602"/>
      <c r="Y29" s="598"/>
      <c r="Z29" s="602"/>
      <c r="AA29" s="598"/>
      <c r="AB29" s="596"/>
    </row>
    <row r="30" spans="1:28" s="586" customFormat="1" ht="11.25">
      <c r="A30" s="576">
        <v>6</v>
      </c>
      <c r="B30" s="577"/>
      <c r="C30" s="578">
        <v>1</v>
      </c>
      <c r="D30" s="579">
        <v>2</v>
      </c>
      <c r="E30" s="579">
        <v>3</v>
      </c>
      <c r="F30" s="579">
        <v>4</v>
      </c>
      <c r="G30" s="579">
        <v>5</v>
      </c>
      <c r="H30" s="579">
        <v>6</v>
      </c>
      <c r="I30" s="579">
        <v>7</v>
      </c>
      <c r="J30" s="579">
        <v>8</v>
      </c>
      <c r="K30" s="579">
        <v>9</v>
      </c>
      <c r="L30" s="579">
        <v>0</v>
      </c>
      <c r="M30" s="579">
        <v>1</v>
      </c>
      <c r="N30" s="579">
        <v>2</v>
      </c>
      <c r="O30" s="580">
        <v>3</v>
      </c>
      <c r="P30" s="581"/>
      <c r="Q30" s="582"/>
      <c r="R30" s="583"/>
      <c r="S30" s="582"/>
      <c r="T30" s="584"/>
      <c r="U30" s="577"/>
      <c r="V30" s="582"/>
      <c r="W30" s="582"/>
      <c r="X30" s="585"/>
      <c r="Y30" s="583"/>
      <c r="Z30" s="585"/>
      <c r="AA30" s="583"/>
      <c r="AB30" s="582"/>
    </row>
    <row r="31" spans="1:28" s="586" customFormat="1" ht="11.25" hidden="1">
      <c r="A31" s="576"/>
      <c r="B31" s="587"/>
      <c r="C31" s="588"/>
      <c r="D31" s="588"/>
      <c r="E31" s="588"/>
      <c r="F31" s="578">
        <v>1</v>
      </c>
      <c r="G31" s="579">
        <v>2</v>
      </c>
      <c r="H31" s="579">
        <v>3</v>
      </c>
      <c r="I31" s="579">
        <v>4</v>
      </c>
      <c r="J31" s="579">
        <v>5</v>
      </c>
      <c r="K31" s="579">
        <v>6</v>
      </c>
      <c r="L31" s="579">
        <v>7</v>
      </c>
      <c r="M31" s="579">
        <v>8</v>
      </c>
      <c r="N31" s="579">
        <v>9</v>
      </c>
      <c r="O31" s="579">
        <v>0</v>
      </c>
      <c r="P31" s="589"/>
      <c r="Q31" s="576"/>
      <c r="R31" s="588"/>
      <c r="S31" s="576"/>
      <c r="T31" s="590"/>
      <c r="U31" s="587"/>
      <c r="V31" s="576"/>
      <c r="W31" s="576"/>
      <c r="X31" s="591"/>
      <c r="Y31" s="588"/>
      <c r="Z31" s="591"/>
      <c r="AA31" s="588"/>
      <c r="AB31" s="576"/>
    </row>
    <row r="32" spans="1:28" s="586" customFormat="1" ht="11.25">
      <c r="A32" s="576"/>
      <c r="B32" s="587" t="s">
        <v>522</v>
      </c>
      <c r="C32" s="592"/>
      <c r="D32" s="588"/>
      <c r="E32" s="588"/>
      <c r="F32" s="588"/>
      <c r="G32" s="588"/>
      <c r="H32" s="588"/>
      <c r="I32" s="588"/>
      <c r="J32" s="588"/>
      <c r="K32" s="588"/>
      <c r="L32" s="588"/>
      <c r="M32" s="588"/>
      <c r="N32" s="588"/>
      <c r="O32" s="593"/>
      <c r="P32" s="589"/>
      <c r="Q32" s="576" t="s">
        <v>421</v>
      </c>
      <c r="R32" s="588">
        <v>0</v>
      </c>
      <c r="S32" s="576">
        <v>0</v>
      </c>
      <c r="T32" s="591">
        <v>0</v>
      </c>
      <c r="U32" s="594"/>
      <c r="V32" s="576"/>
      <c r="W32" s="576"/>
      <c r="X32" s="591">
        <v>48460</v>
      </c>
      <c r="Y32" s="594"/>
      <c r="Z32" s="591">
        <v>2045</v>
      </c>
      <c r="AA32" s="594"/>
      <c r="AB32" s="595" t="s">
        <v>521</v>
      </c>
    </row>
    <row r="33" spans="1:28" s="586" customFormat="1" ht="7.5" customHeight="1">
      <c r="A33" s="596"/>
      <c r="B33" s="597"/>
      <c r="C33" s="598"/>
      <c r="D33" s="598"/>
      <c r="E33" s="598"/>
      <c r="F33" s="598"/>
      <c r="G33" s="598"/>
      <c r="H33" s="598"/>
      <c r="I33" s="598"/>
      <c r="J33" s="598"/>
      <c r="K33" s="598"/>
      <c r="L33" s="598"/>
      <c r="M33" s="598"/>
      <c r="N33" s="598"/>
      <c r="O33" s="599"/>
      <c r="P33" s="600"/>
      <c r="Q33" s="596"/>
      <c r="R33" s="598"/>
      <c r="S33" s="596"/>
      <c r="T33" s="601"/>
      <c r="U33" s="597"/>
      <c r="V33" s="596"/>
      <c r="W33" s="596"/>
      <c r="X33" s="602"/>
      <c r="Y33" s="598"/>
      <c r="Z33" s="602"/>
      <c r="AA33" s="598"/>
      <c r="AB33" s="596"/>
    </row>
    <row r="34" spans="1:28" s="586" customFormat="1" ht="11.25">
      <c r="A34" s="576">
        <v>7</v>
      </c>
      <c r="B34" s="577"/>
      <c r="C34" s="578">
        <v>1</v>
      </c>
      <c r="D34" s="579">
        <v>2</v>
      </c>
      <c r="E34" s="579">
        <v>3</v>
      </c>
      <c r="F34" s="579">
        <v>4</v>
      </c>
      <c r="G34" s="579">
        <v>5</v>
      </c>
      <c r="H34" s="579">
        <v>6</v>
      </c>
      <c r="I34" s="579">
        <v>7</v>
      </c>
      <c r="J34" s="579">
        <v>8</v>
      </c>
      <c r="K34" s="579">
        <v>9</v>
      </c>
      <c r="L34" s="579">
        <v>0</v>
      </c>
      <c r="M34" s="579">
        <v>1</v>
      </c>
      <c r="N34" s="579">
        <v>2</v>
      </c>
      <c r="O34" s="580">
        <v>3</v>
      </c>
      <c r="P34" s="581"/>
      <c r="Q34" s="582"/>
      <c r="R34" s="583"/>
      <c r="S34" s="582"/>
      <c r="T34" s="584"/>
      <c r="U34" s="577"/>
      <c r="V34" s="582"/>
      <c r="W34" s="582"/>
      <c r="X34" s="585"/>
      <c r="Y34" s="583"/>
      <c r="Z34" s="585"/>
      <c r="AA34" s="583"/>
      <c r="AB34" s="582"/>
    </row>
    <row r="35" spans="1:28" s="586" customFormat="1" ht="11.25" hidden="1">
      <c r="A35" s="576"/>
      <c r="B35" s="587"/>
      <c r="C35" s="588"/>
      <c r="D35" s="588"/>
      <c r="E35" s="588"/>
      <c r="F35" s="578">
        <v>1</v>
      </c>
      <c r="G35" s="579">
        <v>2</v>
      </c>
      <c r="H35" s="579">
        <v>3</v>
      </c>
      <c r="I35" s="579">
        <v>4</v>
      </c>
      <c r="J35" s="579">
        <v>5</v>
      </c>
      <c r="K35" s="579">
        <v>6</v>
      </c>
      <c r="L35" s="579">
        <v>7</v>
      </c>
      <c r="M35" s="579">
        <v>8</v>
      </c>
      <c r="N35" s="579">
        <v>9</v>
      </c>
      <c r="O35" s="579">
        <v>0</v>
      </c>
      <c r="P35" s="589"/>
      <c r="Q35" s="576"/>
      <c r="R35" s="588"/>
      <c r="S35" s="576"/>
      <c r="T35" s="590"/>
      <c r="U35" s="587"/>
      <c r="V35" s="576"/>
      <c r="W35" s="576"/>
      <c r="X35" s="591"/>
      <c r="Y35" s="588"/>
      <c r="Z35" s="591"/>
      <c r="AA35" s="588"/>
      <c r="AB35" s="576"/>
    </row>
    <row r="36" spans="1:28" s="586" customFormat="1" ht="11.25">
      <c r="A36" s="576"/>
      <c r="B36" s="587" t="s">
        <v>502</v>
      </c>
      <c r="C36" s="592"/>
      <c r="D36" s="588"/>
      <c r="E36" s="588"/>
      <c r="F36" s="588"/>
      <c r="G36" s="588"/>
      <c r="H36" s="588"/>
      <c r="I36" s="588"/>
      <c r="J36" s="588"/>
      <c r="K36" s="588"/>
      <c r="L36" s="588"/>
      <c r="M36" s="588"/>
      <c r="N36" s="588"/>
      <c r="O36" s="593"/>
      <c r="P36" s="589"/>
      <c r="Q36" s="576" t="s">
        <v>421</v>
      </c>
      <c r="R36" s="588">
        <v>0</v>
      </c>
      <c r="S36" s="576">
        <v>0</v>
      </c>
      <c r="T36" s="591">
        <v>0</v>
      </c>
      <c r="U36" s="594"/>
      <c r="V36" s="576"/>
      <c r="W36" s="576"/>
      <c r="X36" s="591">
        <v>7554</v>
      </c>
      <c r="Y36" s="594"/>
      <c r="Z36" s="591">
        <v>0</v>
      </c>
      <c r="AA36" s="594"/>
      <c r="AB36" s="595" t="s">
        <v>521</v>
      </c>
    </row>
    <row r="37" spans="1:28" s="586" customFormat="1" ht="7.5" customHeight="1">
      <c r="A37" s="596"/>
      <c r="B37" s="597"/>
      <c r="C37" s="598"/>
      <c r="D37" s="598"/>
      <c r="E37" s="598"/>
      <c r="F37" s="598"/>
      <c r="G37" s="598"/>
      <c r="H37" s="598"/>
      <c r="I37" s="598"/>
      <c r="J37" s="598"/>
      <c r="K37" s="598"/>
      <c r="L37" s="598"/>
      <c r="M37" s="598"/>
      <c r="N37" s="598"/>
      <c r="O37" s="599"/>
      <c r="P37" s="600"/>
      <c r="Q37" s="596"/>
      <c r="R37" s="598"/>
      <c r="S37" s="596"/>
      <c r="T37" s="601"/>
      <c r="U37" s="597"/>
      <c r="V37" s="596"/>
      <c r="W37" s="596"/>
      <c r="X37" s="602"/>
      <c r="Y37" s="598"/>
      <c r="Z37" s="602"/>
      <c r="AA37" s="598"/>
      <c r="AB37" s="596"/>
    </row>
    <row r="38" spans="1:28" s="586" customFormat="1" ht="11.25">
      <c r="A38" s="576">
        <v>8</v>
      </c>
      <c r="B38" s="577"/>
      <c r="C38" s="578">
        <v>1</v>
      </c>
      <c r="D38" s="579">
        <v>2</v>
      </c>
      <c r="E38" s="579">
        <v>3</v>
      </c>
      <c r="F38" s="579">
        <v>4</v>
      </c>
      <c r="G38" s="579">
        <v>5</v>
      </c>
      <c r="H38" s="579">
        <v>6</v>
      </c>
      <c r="I38" s="579">
        <v>7</v>
      </c>
      <c r="J38" s="579">
        <v>8</v>
      </c>
      <c r="K38" s="579">
        <v>9</v>
      </c>
      <c r="L38" s="579">
        <v>0</v>
      </c>
      <c r="M38" s="579">
        <v>1</v>
      </c>
      <c r="N38" s="579">
        <v>2</v>
      </c>
      <c r="O38" s="580">
        <v>3</v>
      </c>
      <c r="P38" s="581"/>
      <c r="Q38" s="582"/>
      <c r="R38" s="583"/>
      <c r="S38" s="582"/>
      <c r="T38" s="584"/>
      <c r="U38" s="577"/>
      <c r="V38" s="582"/>
      <c r="W38" s="582"/>
      <c r="X38" s="585"/>
      <c r="Y38" s="583"/>
      <c r="Z38" s="585"/>
      <c r="AA38" s="583"/>
      <c r="AB38" s="582"/>
    </row>
    <row r="39" spans="1:28" s="586" customFormat="1" ht="11.25" hidden="1">
      <c r="A39" s="576"/>
      <c r="B39" s="587"/>
      <c r="C39" s="588"/>
      <c r="D39" s="588"/>
      <c r="E39" s="588"/>
      <c r="F39" s="578">
        <v>1</v>
      </c>
      <c r="G39" s="579">
        <v>2</v>
      </c>
      <c r="H39" s="579">
        <v>3</v>
      </c>
      <c r="I39" s="579">
        <v>4</v>
      </c>
      <c r="J39" s="579">
        <v>5</v>
      </c>
      <c r="K39" s="579">
        <v>6</v>
      </c>
      <c r="L39" s="579">
        <v>7</v>
      </c>
      <c r="M39" s="579">
        <v>8</v>
      </c>
      <c r="N39" s="579">
        <v>9</v>
      </c>
      <c r="O39" s="579">
        <v>0</v>
      </c>
      <c r="P39" s="589"/>
      <c r="Q39" s="576"/>
      <c r="R39" s="588"/>
      <c r="S39" s="576"/>
      <c r="T39" s="590"/>
      <c r="U39" s="587"/>
      <c r="V39" s="576"/>
      <c r="W39" s="576"/>
      <c r="X39" s="591"/>
      <c r="Y39" s="588"/>
      <c r="Z39" s="591"/>
      <c r="AA39" s="588"/>
      <c r="AB39" s="576"/>
    </row>
    <row r="40" spans="1:28" s="586" customFormat="1" ht="11.25">
      <c r="A40" s="576"/>
      <c r="B40" s="587" t="s">
        <v>484</v>
      </c>
      <c r="C40" s="592"/>
      <c r="D40" s="588"/>
      <c r="E40" s="588"/>
      <c r="F40" s="588"/>
      <c r="G40" s="588"/>
      <c r="H40" s="588"/>
      <c r="I40" s="588"/>
      <c r="J40" s="588"/>
      <c r="K40" s="588"/>
      <c r="L40" s="588"/>
      <c r="M40" s="588"/>
      <c r="N40" s="588"/>
      <c r="O40" s="593"/>
      <c r="P40" s="589"/>
      <c r="Q40" s="576" t="s">
        <v>421</v>
      </c>
      <c r="R40" s="588">
        <v>0</v>
      </c>
      <c r="S40" s="576">
        <v>0</v>
      </c>
      <c r="T40" s="591">
        <v>0</v>
      </c>
      <c r="U40" s="594"/>
      <c r="V40" s="576"/>
      <c r="W40" s="576"/>
      <c r="X40" s="591">
        <v>31000</v>
      </c>
      <c r="Y40" s="594"/>
      <c r="Z40" s="591">
        <v>280</v>
      </c>
      <c r="AA40" s="594"/>
      <c r="AB40" s="595" t="s">
        <v>521</v>
      </c>
    </row>
    <row r="41" spans="1:28" s="586" customFormat="1" ht="7.5" customHeight="1">
      <c r="A41" s="596"/>
      <c r="B41" s="597"/>
      <c r="C41" s="598"/>
      <c r="D41" s="598"/>
      <c r="E41" s="598"/>
      <c r="F41" s="598"/>
      <c r="G41" s="598"/>
      <c r="H41" s="598"/>
      <c r="I41" s="598"/>
      <c r="J41" s="598"/>
      <c r="K41" s="598"/>
      <c r="L41" s="598"/>
      <c r="M41" s="598"/>
      <c r="N41" s="598"/>
      <c r="O41" s="599"/>
      <c r="P41" s="600"/>
      <c r="Q41" s="596"/>
      <c r="R41" s="598"/>
      <c r="S41" s="596"/>
      <c r="T41" s="601"/>
      <c r="U41" s="597"/>
      <c r="V41" s="596"/>
      <c r="W41" s="596"/>
      <c r="X41" s="602"/>
      <c r="Y41" s="598"/>
      <c r="Z41" s="602"/>
      <c r="AA41" s="598"/>
      <c r="AB41" s="596"/>
    </row>
    <row r="42" spans="1:28" s="586" customFormat="1" ht="11.25">
      <c r="A42" s="576">
        <v>9</v>
      </c>
      <c r="B42" s="577"/>
      <c r="C42" s="578">
        <v>1</v>
      </c>
      <c r="D42" s="579">
        <v>2</v>
      </c>
      <c r="E42" s="579">
        <v>3</v>
      </c>
      <c r="F42" s="579">
        <v>4</v>
      </c>
      <c r="G42" s="579">
        <v>5</v>
      </c>
      <c r="H42" s="579">
        <v>6</v>
      </c>
      <c r="I42" s="579">
        <v>7</v>
      </c>
      <c r="J42" s="579">
        <v>8</v>
      </c>
      <c r="K42" s="579">
        <v>9</v>
      </c>
      <c r="L42" s="579">
        <v>0</v>
      </c>
      <c r="M42" s="579">
        <v>1</v>
      </c>
      <c r="N42" s="579">
        <v>2</v>
      </c>
      <c r="O42" s="580">
        <v>3</v>
      </c>
      <c r="P42" s="581"/>
      <c r="Q42" s="582"/>
      <c r="R42" s="583"/>
      <c r="S42" s="582"/>
      <c r="T42" s="584"/>
      <c r="U42" s="577"/>
      <c r="V42" s="582"/>
      <c r="W42" s="582"/>
      <c r="X42" s="585"/>
      <c r="Y42" s="583"/>
      <c r="Z42" s="585"/>
      <c r="AA42" s="583"/>
      <c r="AB42" s="582"/>
    </row>
    <row r="43" spans="1:28" s="586" customFormat="1" ht="11.25" hidden="1">
      <c r="A43" s="576"/>
      <c r="B43" s="587"/>
      <c r="C43" s="588"/>
      <c r="D43" s="588"/>
      <c r="E43" s="588"/>
      <c r="F43" s="578">
        <v>1</v>
      </c>
      <c r="G43" s="579">
        <v>2</v>
      </c>
      <c r="H43" s="579">
        <v>3</v>
      </c>
      <c r="I43" s="579">
        <v>4</v>
      </c>
      <c r="J43" s="579">
        <v>5</v>
      </c>
      <c r="K43" s="579">
        <v>6</v>
      </c>
      <c r="L43" s="579">
        <v>7</v>
      </c>
      <c r="M43" s="579">
        <v>8</v>
      </c>
      <c r="N43" s="579">
        <v>9</v>
      </c>
      <c r="O43" s="579">
        <v>0</v>
      </c>
      <c r="P43" s="589"/>
      <c r="Q43" s="576"/>
      <c r="R43" s="588"/>
      <c r="S43" s="576"/>
      <c r="T43" s="590"/>
      <c r="U43" s="587"/>
      <c r="V43" s="576"/>
      <c r="W43" s="576"/>
      <c r="X43" s="591"/>
      <c r="Y43" s="588"/>
      <c r="Z43" s="591"/>
      <c r="AA43" s="588"/>
      <c r="AB43" s="576"/>
    </row>
    <row r="44" spans="1:28" s="586" customFormat="1" ht="11.25">
      <c r="A44" s="576"/>
      <c r="B44" s="587" t="s">
        <v>485</v>
      </c>
      <c r="C44" s="592"/>
      <c r="D44" s="588"/>
      <c r="E44" s="588"/>
      <c r="F44" s="588"/>
      <c r="G44" s="588"/>
      <c r="H44" s="588"/>
      <c r="I44" s="588"/>
      <c r="J44" s="588"/>
      <c r="K44" s="588"/>
      <c r="L44" s="588"/>
      <c r="M44" s="588"/>
      <c r="N44" s="588"/>
      <c r="O44" s="593"/>
      <c r="P44" s="589"/>
      <c r="Q44" s="576" t="s">
        <v>421</v>
      </c>
      <c r="R44" s="588">
        <v>0</v>
      </c>
      <c r="S44" s="576">
        <v>0</v>
      </c>
      <c r="T44" s="591">
        <v>0</v>
      </c>
      <c r="U44" s="594"/>
      <c r="V44" s="576"/>
      <c r="W44" s="576"/>
      <c r="X44" s="591">
        <v>20000</v>
      </c>
      <c r="Y44" s="594"/>
      <c r="Z44" s="591">
        <v>0</v>
      </c>
      <c r="AA44" s="594"/>
      <c r="AB44" s="595" t="s">
        <v>521</v>
      </c>
    </row>
    <row r="45" spans="1:28" s="586" customFormat="1" ht="7.5" customHeight="1">
      <c r="A45" s="596"/>
      <c r="B45" s="597"/>
      <c r="C45" s="598"/>
      <c r="D45" s="598"/>
      <c r="E45" s="598"/>
      <c r="F45" s="598"/>
      <c r="G45" s="598"/>
      <c r="H45" s="598"/>
      <c r="I45" s="598"/>
      <c r="J45" s="598"/>
      <c r="K45" s="598"/>
      <c r="L45" s="598"/>
      <c r="M45" s="598"/>
      <c r="N45" s="598"/>
      <c r="O45" s="599"/>
      <c r="P45" s="600"/>
      <c r="Q45" s="596"/>
      <c r="R45" s="598"/>
      <c r="S45" s="596"/>
      <c r="T45" s="601"/>
      <c r="U45" s="597"/>
      <c r="V45" s="596"/>
      <c r="W45" s="596"/>
      <c r="X45" s="602"/>
      <c r="Y45" s="598"/>
      <c r="Z45" s="602"/>
      <c r="AA45" s="598"/>
      <c r="AB45" s="596"/>
    </row>
    <row r="46" spans="1:28" s="586" customFormat="1" ht="11.25">
      <c r="A46" s="576">
        <v>10</v>
      </c>
      <c r="B46" s="577"/>
      <c r="C46" s="578">
        <v>1</v>
      </c>
      <c r="D46" s="579">
        <v>2</v>
      </c>
      <c r="E46" s="579">
        <v>3</v>
      </c>
      <c r="F46" s="579">
        <v>4</v>
      </c>
      <c r="G46" s="579">
        <v>5</v>
      </c>
      <c r="H46" s="579">
        <v>6</v>
      </c>
      <c r="I46" s="579">
        <v>7</v>
      </c>
      <c r="J46" s="579">
        <v>8</v>
      </c>
      <c r="K46" s="579">
        <v>9</v>
      </c>
      <c r="L46" s="579">
        <v>0</v>
      </c>
      <c r="M46" s="579">
        <v>1</v>
      </c>
      <c r="N46" s="579">
        <v>2</v>
      </c>
      <c r="O46" s="580">
        <v>3</v>
      </c>
      <c r="P46" s="581"/>
      <c r="Q46" s="582"/>
      <c r="R46" s="583"/>
      <c r="S46" s="582"/>
      <c r="T46" s="584"/>
      <c r="U46" s="577"/>
      <c r="V46" s="582"/>
      <c r="W46" s="582"/>
      <c r="X46" s="585"/>
      <c r="Y46" s="583"/>
      <c r="Z46" s="585"/>
      <c r="AA46" s="583"/>
      <c r="AB46" s="582"/>
    </row>
    <row r="47" spans="1:28" s="586" customFormat="1" ht="11.25" hidden="1">
      <c r="A47" s="576"/>
      <c r="B47" s="587"/>
      <c r="C47" s="588"/>
      <c r="D47" s="588"/>
      <c r="E47" s="588"/>
      <c r="F47" s="578">
        <v>1</v>
      </c>
      <c r="G47" s="579">
        <v>2</v>
      </c>
      <c r="H47" s="579">
        <v>3</v>
      </c>
      <c r="I47" s="579">
        <v>4</v>
      </c>
      <c r="J47" s="579">
        <v>5</v>
      </c>
      <c r="K47" s="579">
        <v>6</v>
      </c>
      <c r="L47" s="579">
        <v>7</v>
      </c>
      <c r="M47" s="579">
        <v>8</v>
      </c>
      <c r="N47" s="579">
        <v>9</v>
      </c>
      <c r="O47" s="579">
        <v>0</v>
      </c>
      <c r="P47" s="589"/>
      <c r="Q47" s="576"/>
      <c r="R47" s="588"/>
      <c r="S47" s="576"/>
      <c r="T47" s="590"/>
      <c r="U47" s="587"/>
      <c r="V47" s="576"/>
      <c r="W47" s="576"/>
      <c r="X47" s="591"/>
      <c r="Y47" s="588"/>
      <c r="Z47" s="591"/>
      <c r="AA47" s="588"/>
      <c r="AB47" s="576"/>
    </row>
    <row r="48" spans="1:28" s="586" customFormat="1" ht="11.25">
      <c r="A48" s="576"/>
      <c r="B48" s="587" t="s">
        <v>503</v>
      </c>
      <c r="C48" s="592"/>
      <c r="D48" s="588"/>
      <c r="E48" s="588"/>
      <c r="F48" s="588"/>
      <c r="G48" s="588"/>
      <c r="H48" s="588"/>
      <c r="I48" s="588"/>
      <c r="J48" s="588"/>
      <c r="K48" s="588"/>
      <c r="L48" s="588"/>
      <c r="M48" s="588"/>
      <c r="N48" s="588"/>
      <c r="O48" s="593"/>
      <c r="P48" s="589"/>
      <c r="Q48" s="576" t="s">
        <v>421</v>
      </c>
      <c r="R48" s="588">
        <v>0</v>
      </c>
      <c r="S48" s="576">
        <v>0</v>
      </c>
      <c r="T48" s="591">
        <v>0</v>
      </c>
      <c r="U48" s="594"/>
      <c r="V48" s="576"/>
      <c r="W48" s="576"/>
      <c r="X48" s="591">
        <v>22554</v>
      </c>
      <c r="Y48" s="594"/>
      <c r="Z48" s="591">
        <v>0</v>
      </c>
      <c r="AA48" s="594"/>
      <c r="AB48" s="595" t="s">
        <v>521</v>
      </c>
    </row>
    <row r="49" spans="1:28" s="586" customFormat="1" ht="7.5" customHeight="1">
      <c r="A49" s="596"/>
      <c r="B49" s="597"/>
      <c r="C49" s="598"/>
      <c r="D49" s="598"/>
      <c r="E49" s="598"/>
      <c r="F49" s="598"/>
      <c r="G49" s="598"/>
      <c r="H49" s="598"/>
      <c r="I49" s="598"/>
      <c r="J49" s="598"/>
      <c r="K49" s="598"/>
      <c r="L49" s="598"/>
      <c r="M49" s="598"/>
      <c r="N49" s="598"/>
      <c r="O49" s="599"/>
      <c r="P49" s="600"/>
      <c r="Q49" s="596"/>
      <c r="R49" s="598"/>
      <c r="S49" s="596"/>
      <c r="T49" s="601"/>
      <c r="U49" s="597"/>
      <c r="V49" s="596"/>
      <c r="W49" s="596"/>
      <c r="X49" s="602"/>
      <c r="Y49" s="598"/>
      <c r="Z49" s="602"/>
      <c r="AA49" s="598"/>
      <c r="AB49" s="596"/>
    </row>
    <row r="50" spans="1:28" s="586" customFormat="1" ht="11.25">
      <c r="A50" s="576">
        <v>11</v>
      </c>
      <c r="B50" s="577"/>
      <c r="C50" s="578">
        <v>1</v>
      </c>
      <c r="D50" s="579">
        <v>2</v>
      </c>
      <c r="E50" s="579">
        <v>3</v>
      </c>
      <c r="F50" s="579">
        <v>4</v>
      </c>
      <c r="G50" s="579">
        <v>5</v>
      </c>
      <c r="H50" s="579">
        <v>6</v>
      </c>
      <c r="I50" s="579">
        <v>7</v>
      </c>
      <c r="J50" s="579">
        <v>8</v>
      </c>
      <c r="K50" s="579">
        <v>9</v>
      </c>
      <c r="L50" s="579">
        <v>0</v>
      </c>
      <c r="M50" s="579">
        <v>1</v>
      </c>
      <c r="N50" s="579">
        <v>2</v>
      </c>
      <c r="O50" s="580">
        <v>3</v>
      </c>
      <c r="P50" s="581"/>
      <c r="Q50" s="582"/>
      <c r="R50" s="583"/>
      <c r="S50" s="582"/>
      <c r="T50" s="584"/>
      <c r="U50" s="577"/>
      <c r="V50" s="582"/>
      <c r="W50" s="582"/>
      <c r="X50" s="585"/>
      <c r="Y50" s="583"/>
      <c r="Z50" s="585"/>
      <c r="AA50" s="583"/>
      <c r="AB50" s="582"/>
    </row>
    <row r="51" spans="1:28" s="586" customFormat="1" ht="11.25" hidden="1">
      <c r="A51" s="576"/>
      <c r="B51" s="587"/>
      <c r="C51" s="588"/>
      <c r="D51" s="588"/>
      <c r="E51" s="588"/>
      <c r="F51" s="578">
        <v>1</v>
      </c>
      <c r="G51" s="579">
        <v>2</v>
      </c>
      <c r="H51" s="579">
        <v>3</v>
      </c>
      <c r="I51" s="579">
        <v>4</v>
      </c>
      <c r="J51" s="579">
        <v>5</v>
      </c>
      <c r="K51" s="579">
        <v>6</v>
      </c>
      <c r="L51" s="579">
        <v>7</v>
      </c>
      <c r="M51" s="579">
        <v>8</v>
      </c>
      <c r="N51" s="579">
        <v>9</v>
      </c>
      <c r="O51" s="579">
        <v>0</v>
      </c>
      <c r="P51" s="589"/>
      <c r="Q51" s="576"/>
      <c r="R51" s="588"/>
      <c r="S51" s="576"/>
      <c r="T51" s="590"/>
      <c r="U51" s="587"/>
      <c r="V51" s="576"/>
      <c r="W51" s="576"/>
      <c r="X51" s="591"/>
      <c r="Y51" s="588"/>
      <c r="Z51" s="591"/>
      <c r="AA51" s="588"/>
      <c r="AB51" s="576"/>
    </row>
    <row r="52" spans="1:28" s="586" customFormat="1" ht="11.25">
      <c r="A52" s="576"/>
      <c r="B52" s="587" t="s">
        <v>486</v>
      </c>
      <c r="C52" s="592"/>
      <c r="D52" s="588"/>
      <c r="E52" s="588"/>
      <c r="F52" s="588"/>
      <c r="G52" s="588"/>
      <c r="H52" s="588"/>
      <c r="I52" s="588"/>
      <c r="J52" s="588"/>
      <c r="K52" s="588"/>
      <c r="L52" s="588"/>
      <c r="M52" s="588"/>
      <c r="N52" s="588"/>
      <c r="O52" s="593"/>
      <c r="P52" s="589"/>
      <c r="Q52" s="576" t="s">
        <v>421</v>
      </c>
      <c r="R52" s="588">
        <v>0</v>
      </c>
      <c r="S52" s="576">
        <v>0</v>
      </c>
      <c r="T52" s="591">
        <v>0</v>
      </c>
      <c r="U52" s="594"/>
      <c r="V52" s="576"/>
      <c r="W52" s="576"/>
      <c r="X52" s="591">
        <v>40856</v>
      </c>
      <c r="Y52" s="594"/>
      <c r="Z52" s="591">
        <v>1275</v>
      </c>
      <c r="AA52" s="594"/>
      <c r="AB52" s="595" t="s">
        <v>521</v>
      </c>
    </row>
    <row r="53" spans="1:28" s="586" customFormat="1" ht="7.5" customHeight="1">
      <c r="A53" s="596"/>
      <c r="B53" s="597"/>
      <c r="C53" s="598"/>
      <c r="D53" s="598"/>
      <c r="E53" s="598"/>
      <c r="F53" s="598"/>
      <c r="G53" s="598"/>
      <c r="H53" s="598"/>
      <c r="I53" s="598"/>
      <c r="J53" s="598"/>
      <c r="K53" s="598"/>
      <c r="L53" s="598"/>
      <c r="M53" s="598"/>
      <c r="N53" s="598"/>
      <c r="O53" s="599"/>
      <c r="P53" s="600"/>
      <c r="Q53" s="596"/>
      <c r="R53" s="598"/>
      <c r="S53" s="596"/>
      <c r="T53" s="601"/>
      <c r="U53" s="597"/>
      <c r="V53" s="596"/>
      <c r="W53" s="596"/>
      <c r="X53" s="602"/>
      <c r="Y53" s="598"/>
      <c r="Z53" s="602"/>
      <c r="AA53" s="598"/>
      <c r="AB53" s="596"/>
    </row>
    <row r="54" spans="1:28" s="586" customFormat="1" ht="11.25">
      <c r="A54" s="576">
        <v>12</v>
      </c>
      <c r="B54" s="577"/>
      <c r="C54" s="578">
        <v>1</v>
      </c>
      <c r="D54" s="579">
        <v>2</v>
      </c>
      <c r="E54" s="579">
        <v>3</v>
      </c>
      <c r="F54" s="579">
        <v>4</v>
      </c>
      <c r="G54" s="579">
        <v>5</v>
      </c>
      <c r="H54" s="579">
        <v>6</v>
      </c>
      <c r="I54" s="579">
        <v>7</v>
      </c>
      <c r="J54" s="579">
        <v>8</v>
      </c>
      <c r="K54" s="579">
        <v>9</v>
      </c>
      <c r="L54" s="579">
        <v>0</v>
      </c>
      <c r="M54" s="579">
        <v>1</v>
      </c>
      <c r="N54" s="579">
        <v>2</v>
      </c>
      <c r="O54" s="580">
        <v>3</v>
      </c>
      <c r="P54" s="581"/>
      <c r="Q54" s="582"/>
      <c r="R54" s="583"/>
      <c r="S54" s="582"/>
      <c r="T54" s="584"/>
      <c r="U54" s="577"/>
      <c r="V54" s="582"/>
      <c r="W54" s="582"/>
      <c r="X54" s="585"/>
      <c r="Y54" s="583"/>
      <c r="Z54" s="585"/>
      <c r="AA54" s="583"/>
      <c r="AB54" s="582"/>
    </row>
    <row r="55" spans="1:28" s="586" customFormat="1" ht="11.25" hidden="1">
      <c r="A55" s="576"/>
      <c r="B55" s="587"/>
      <c r="C55" s="588"/>
      <c r="D55" s="588"/>
      <c r="E55" s="588"/>
      <c r="F55" s="578">
        <v>1</v>
      </c>
      <c r="G55" s="579">
        <v>2</v>
      </c>
      <c r="H55" s="579">
        <v>3</v>
      </c>
      <c r="I55" s="579">
        <v>4</v>
      </c>
      <c r="J55" s="579">
        <v>5</v>
      </c>
      <c r="K55" s="579">
        <v>6</v>
      </c>
      <c r="L55" s="579">
        <v>7</v>
      </c>
      <c r="M55" s="579">
        <v>8</v>
      </c>
      <c r="N55" s="579">
        <v>9</v>
      </c>
      <c r="O55" s="579">
        <v>0</v>
      </c>
      <c r="P55" s="589"/>
      <c r="Q55" s="576"/>
      <c r="R55" s="588"/>
      <c r="S55" s="576"/>
      <c r="T55" s="590"/>
      <c r="U55" s="587"/>
      <c r="V55" s="576"/>
      <c r="W55" s="576"/>
      <c r="X55" s="591"/>
      <c r="Y55" s="588"/>
      <c r="Z55" s="591"/>
      <c r="AA55" s="588"/>
      <c r="AB55" s="576"/>
    </row>
    <row r="56" spans="1:28" s="586" customFormat="1" ht="11.25">
      <c r="A56" s="576"/>
      <c r="B56" s="587" t="s">
        <v>487</v>
      </c>
      <c r="C56" s="592"/>
      <c r="D56" s="588"/>
      <c r="E56" s="588"/>
      <c r="F56" s="588"/>
      <c r="G56" s="588"/>
      <c r="H56" s="588"/>
      <c r="I56" s="588"/>
      <c r="J56" s="588"/>
      <c r="K56" s="588"/>
      <c r="L56" s="588"/>
      <c r="M56" s="588"/>
      <c r="N56" s="588"/>
      <c r="O56" s="593"/>
      <c r="P56" s="589"/>
      <c r="Q56" s="576" t="s">
        <v>421</v>
      </c>
      <c r="R56" s="588">
        <v>0</v>
      </c>
      <c r="S56" s="576">
        <v>0</v>
      </c>
      <c r="T56" s="591">
        <v>0</v>
      </c>
      <c r="U56" s="594"/>
      <c r="V56" s="576"/>
      <c r="W56" s="576"/>
      <c r="X56" s="591">
        <v>40348</v>
      </c>
      <c r="Y56" s="594"/>
      <c r="Z56" s="591">
        <v>1224</v>
      </c>
      <c r="AA56" s="594"/>
      <c r="AB56" s="595" t="s">
        <v>521</v>
      </c>
    </row>
    <row r="57" spans="1:28" s="586" customFormat="1" ht="7.5" customHeight="1">
      <c r="A57" s="596"/>
      <c r="B57" s="597"/>
      <c r="C57" s="598"/>
      <c r="D57" s="598"/>
      <c r="E57" s="598"/>
      <c r="F57" s="598"/>
      <c r="G57" s="598"/>
      <c r="H57" s="598"/>
      <c r="I57" s="598"/>
      <c r="J57" s="598"/>
      <c r="K57" s="598"/>
      <c r="L57" s="598"/>
      <c r="M57" s="598"/>
      <c r="N57" s="598"/>
      <c r="O57" s="599"/>
      <c r="P57" s="600"/>
      <c r="Q57" s="596"/>
      <c r="R57" s="598"/>
      <c r="S57" s="596"/>
      <c r="T57" s="601"/>
      <c r="U57" s="597"/>
      <c r="V57" s="596"/>
      <c r="W57" s="596"/>
      <c r="X57" s="602"/>
      <c r="Y57" s="598"/>
      <c r="Z57" s="602"/>
      <c r="AA57" s="598"/>
      <c r="AB57" s="596"/>
    </row>
    <row r="58" spans="1:28" s="586" customFormat="1" ht="11.25">
      <c r="A58" s="576">
        <v>13</v>
      </c>
      <c r="B58" s="577"/>
      <c r="C58" s="578">
        <v>1</v>
      </c>
      <c r="D58" s="579">
        <v>2</v>
      </c>
      <c r="E58" s="579">
        <v>3</v>
      </c>
      <c r="F58" s="579">
        <v>4</v>
      </c>
      <c r="G58" s="579">
        <v>5</v>
      </c>
      <c r="H58" s="579">
        <v>6</v>
      </c>
      <c r="I58" s="579">
        <v>7</v>
      </c>
      <c r="J58" s="579">
        <v>8</v>
      </c>
      <c r="K58" s="579">
        <v>9</v>
      </c>
      <c r="L58" s="579">
        <v>0</v>
      </c>
      <c r="M58" s="579">
        <v>1</v>
      </c>
      <c r="N58" s="579">
        <v>2</v>
      </c>
      <c r="O58" s="580">
        <v>3</v>
      </c>
      <c r="P58" s="581"/>
      <c r="Q58" s="582"/>
      <c r="R58" s="583"/>
      <c r="S58" s="582"/>
      <c r="T58" s="584"/>
      <c r="U58" s="577"/>
      <c r="V58" s="582"/>
      <c r="W58" s="582"/>
      <c r="X58" s="585"/>
      <c r="Y58" s="583"/>
      <c r="Z58" s="585"/>
      <c r="AA58" s="583"/>
      <c r="AB58" s="582"/>
    </row>
    <row r="59" spans="1:28" s="586" customFormat="1" ht="11.25" hidden="1">
      <c r="A59" s="576"/>
      <c r="B59" s="587"/>
      <c r="C59" s="588"/>
      <c r="D59" s="588"/>
      <c r="E59" s="588"/>
      <c r="F59" s="578">
        <v>1</v>
      </c>
      <c r="G59" s="579">
        <v>2</v>
      </c>
      <c r="H59" s="579">
        <v>3</v>
      </c>
      <c r="I59" s="579">
        <v>4</v>
      </c>
      <c r="J59" s="579">
        <v>5</v>
      </c>
      <c r="K59" s="579">
        <v>6</v>
      </c>
      <c r="L59" s="579">
        <v>7</v>
      </c>
      <c r="M59" s="579">
        <v>8</v>
      </c>
      <c r="N59" s="579">
        <v>9</v>
      </c>
      <c r="O59" s="579">
        <v>0</v>
      </c>
      <c r="P59" s="589"/>
      <c r="Q59" s="576"/>
      <c r="R59" s="588"/>
      <c r="S59" s="576"/>
      <c r="T59" s="590"/>
      <c r="U59" s="587"/>
      <c r="V59" s="576"/>
      <c r="W59" s="576"/>
      <c r="X59" s="591"/>
      <c r="Y59" s="588"/>
      <c r="Z59" s="591"/>
      <c r="AA59" s="588"/>
      <c r="AB59" s="576"/>
    </row>
    <row r="60" spans="1:28" s="586" customFormat="1" ht="11.25">
      <c r="A60" s="576"/>
      <c r="B60" s="587" t="s">
        <v>488</v>
      </c>
      <c r="C60" s="592"/>
      <c r="D60" s="588"/>
      <c r="E60" s="588"/>
      <c r="F60" s="588"/>
      <c r="G60" s="588"/>
      <c r="H60" s="588"/>
      <c r="I60" s="588"/>
      <c r="J60" s="588"/>
      <c r="K60" s="588"/>
      <c r="L60" s="588"/>
      <c r="M60" s="588"/>
      <c r="N60" s="588"/>
      <c r="O60" s="593"/>
      <c r="P60" s="589"/>
      <c r="Q60" s="576" t="s">
        <v>421</v>
      </c>
      <c r="R60" s="588">
        <v>0</v>
      </c>
      <c r="S60" s="576">
        <v>0</v>
      </c>
      <c r="T60" s="591">
        <v>0</v>
      </c>
      <c r="U60" s="594"/>
      <c r="V60" s="576"/>
      <c r="W60" s="576"/>
      <c r="X60" s="591">
        <v>23906</v>
      </c>
      <c r="Y60" s="594"/>
      <c r="Z60" s="591">
        <v>0</v>
      </c>
      <c r="AA60" s="594"/>
      <c r="AB60" s="595" t="s">
        <v>521</v>
      </c>
    </row>
    <row r="61" spans="1:28" s="586" customFormat="1" ht="7.5" customHeight="1">
      <c r="A61" s="596"/>
      <c r="B61" s="597"/>
      <c r="C61" s="598"/>
      <c r="D61" s="598"/>
      <c r="E61" s="598"/>
      <c r="F61" s="598"/>
      <c r="G61" s="598"/>
      <c r="H61" s="598"/>
      <c r="I61" s="598"/>
      <c r="J61" s="598"/>
      <c r="K61" s="598"/>
      <c r="L61" s="598"/>
      <c r="M61" s="598"/>
      <c r="N61" s="598"/>
      <c r="O61" s="599"/>
      <c r="P61" s="600"/>
      <c r="Q61" s="596"/>
      <c r="R61" s="598"/>
      <c r="S61" s="596"/>
      <c r="T61" s="601"/>
      <c r="U61" s="597"/>
      <c r="V61" s="596"/>
      <c r="W61" s="596"/>
      <c r="X61" s="602"/>
      <c r="Y61" s="598"/>
      <c r="Z61" s="602"/>
      <c r="AA61" s="598"/>
      <c r="AB61" s="596"/>
    </row>
    <row r="62" spans="1:28" s="586" customFormat="1" ht="11.25">
      <c r="A62" s="576">
        <v>14</v>
      </c>
      <c r="B62" s="577"/>
      <c r="C62" s="578">
        <v>1</v>
      </c>
      <c r="D62" s="579">
        <v>2</v>
      </c>
      <c r="E62" s="579">
        <v>3</v>
      </c>
      <c r="F62" s="579">
        <v>4</v>
      </c>
      <c r="G62" s="579">
        <v>5</v>
      </c>
      <c r="H62" s="579">
        <v>6</v>
      </c>
      <c r="I62" s="579">
        <v>7</v>
      </c>
      <c r="J62" s="579">
        <v>8</v>
      </c>
      <c r="K62" s="579">
        <v>9</v>
      </c>
      <c r="L62" s="579">
        <v>0</v>
      </c>
      <c r="M62" s="579">
        <v>1</v>
      </c>
      <c r="N62" s="579">
        <v>2</v>
      </c>
      <c r="O62" s="580">
        <v>3</v>
      </c>
      <c r="P62" s="581"/>
      <c r="Q62" s="582"/>
      <c r="R62" s="583"/>
      <c r="S62" s="582"/>
      <c r="T62" s="584"/>
      <c r="U62" s="577"/>
      <c r="V62" s="582"/>
      <c r="W62" s="582"/>
      <c r="X62" s="585"/>
      <c r="Y62" s="583"/>
      <c r="Z62" s="585"/>
      <c r="AA62" s="583"/>
      <c r="AB62" s="582"/>
    </row>
    <row r="63" spans="1:28" s="586" customFormat="1" ht="11.25" hidden="1">
      <c r="A63" s="576"/>
      <c r="B63" s="587"/>
      <c r="C63" s="588"/>
      <c r="D63" s="588"/>
      <c r="E63" s="588"/>
      <c r="F63" s="578">
        <v>1</v>
      </c>
      <c r="G63" s="579">
        <v>2</v>
      </c>
      <c r="H63" s="579">
        <v>3</v>
      </c>
      <c r="I63" s="579">
        <v>4</v>
      </c>
      <c r="J63" s="579">
        <v>5</v>
      </c>
      <c r="K63" s="579">
        <v>6</v>
      </c>
      <c r="L63" s="579">
        <v>7</v>
      </c>
      <c r="M63" s="579">
        <v>8</v>
      </c>
      <c r="N63" s="579">
        <v>9</v>
      </c>
      <c r="O63" s="579">
        <v>0</v>
      </c>
      <c r="P63" s="589"/>
      <c r="Q63" s="576"/>
      <c r="R63" s="588"/>
      <c r="S63" s="576"/>
      <c r="T63" s="590"/>
      <c r="U63" s="587"/>
      <c r="V63" s="576"/>
      <c r="W63" s="576"/>
      <c r="X63" s="591"/>
      <c r="Y63" s="588"/>
      <c r="Z63" s="591"/>
      <c r="AA63" s="588"/>
      <c r="AB63" s="576"/>
    </row>
    <row r="64" spans="1:28" s="586" customFormat="1" ht="11.25">
      <c r="A64" s="576"/>
      <c r="B64" s="587" t="s">
        <v>489</v>
      </c>
      <c r="C64" s="592"/>
      <c r="D64" s="588"/>
      <c r="E64" s="588"/>
      <c r="F64" s="588"/>
      <c r="G64" s="588"/>
      <c r="H64" s="588"/>
      <c r="I64" s="588"/>
      <c r="J64" s="588"/>
      <c r="K64" s="588"/>
      <c r="L64" s="588"/>
      <c r="M64" s="588"/>
      <c r="N64" s="588"/>
      <c r="O64" s="593"/>
      <c r="P64" s="589"/>
      <c r="Q64" s="576" t="s">
        <v>421</v>
      </c>
      <c r="R64" s="588">
        <v>0</v>
      </c>
      <c r="S64" s="576">
        <v>0</v>
      </c>
      <c r="T64" s="591">
        <v>0</v>
      </c>
      <c r="U64" s="594"/>
      <c r="V64" s="576"/>
      <c r="W64" s="576"/>
      <c r="X64" s="591">
        <v>21550</v>
      </c>
      <c r="Y64" s="594"/>
      <c r="Z64" s="591">
        <v>37</v>
      </c>
      <c r="AA64" s="594"/>
      <c r="AB64" s="595" t="s">
        <v>521</v>
      </c>
    </row>
    <row r="65" spans="1:28" s="586" customFormat="1" ht="7.5" customHeight="1">
      <c r="A65" s="596"/>
      <c r="B65" s="597"/>
      <c r="C65" s="598"/>
      <c r="D65" s="598"/>
      <c r="E65" s="598"/>
      <c r="F65" s="598"/>
      <c r="G65" s="598"/>
      <c r="H65" s="598"/>
      <c r="I65" s="598"/>
      <c r="J65" s="598"/>
      <c r="K65" s="598"/>
      <c r="L65" s="598"/>
      <c r="M65" s="598"/>
      <c r="N65" s="598"/>
      <c r="O65" s="599"/>
      <c r="P65" s="600"/>
      <c r="Q65" s="596"/>
      <c r="R65" s="598"/>
      <c r="S65" s="596"/>
      <c r="T65" s="601"/>
      <c r="U65" s="597"/>
      <c r="V65" s="596"/>
      <c r="W65" s="596"/>
      <c r="X65" s="602"/>
      <c r="Y65" s="598"/>
      <c r="Z65" s="602"/>
      <c r="AA65" s="598"/>
      <c r="AB65" s="596"/>
    </row>
    <row r="66" spans="1:28" s="586" customFormat="1" ht="11.25">
      <c r="A66" s="576">
        <v>15</v>
      </c>
      <c r="B66" s="577"/>
      <c r="C66" s="578">
        <v>1</v>
      </c>
      <c r="D66" s="579">
        <v>2</v>
      </c>
      <c r="E66" s="579">
        <v>3</v>
      </c>
      <c r="F66" s="579">
        <v>4</v>
      </c>
      <c r="G66" s="579">
        <v>5</v>
      </c>
      <c r="H66" s="579">
        <v>6</v>
      </c>
      <c r="I66" s="579">
        <v>7</v>
      </c>
      <c r="J66" s="579">
        <v>8</v>
      </c>
      <c r="K66" s="579">
        <v>9</v>
      </c>
      <c r="L66" s="579">
        <v>0</v>
      </c>
      <c r="M66" s="579">
        <v>1</v>
      </c>
      <c r="N66" s="579">
        <v>2</v>
      </c>
      <c r="O66" s="580">
        <v>3</v>
      </c>
      <c r="P66" s="581"/>
      <c r="Q66" s="582"/>
      <c r="R66" s="583"/>
      <c r="S66" s="582"/>
      <c r="T66" s="584"/>
      <c r="U66" s="577"/>
      <c r="V66" s="582"/>
      <c r="W66" s="582"/>
      <c r="X66" s="585"/>
      <c r="Y66" s="583"/>
      <c r="Z66" s="585"/>
      <c r="AA66" s="583"/>
      <c r="AB66" s="582"/>
    </row>
    <row r="67" spans="1:28" s="586" customFormat="1" ht="11.25" hidden="1">
      <c r="A67" s="576"/>
      <c r="B67" s="587"/>
      <c r="C67" s="588"/>
      <c r="D67" s="588"/>
      <c r="E67" s="588"/>
      <c r="F67" s="578">
        <v>1</v>
      </c>
      <c r="G67" s="579">
        <v>2</v>
      </c>
      <c r="H67" s="579">
        <v>3</v>
      </c>
      <c r="I67" s="579">
        <v>4</v>
      </c>
      <c r="J67" s="579">
        <v>5</v>
      </c>
      <c r="K67" s="579">
        <v>6</v>
      </c>
      <c r="L67" s="579">
        <v>7</v>
      </c>
      <c r="M67" s="579">
        <v>8</v>
      </c>
      <c r="N67" s="579">
        <v>9</v>
      </c>
      <c r="O67" s="579">
        <v>0</v>
      </c>
      <c r="P67" s="589"/>
      <c r="Q67" s="576"/>
      <c r="R67" s="588"/>
      <c r="S67" s="576"/>
      <c r="T67" s="590"/>
      <c r="U67" s="587"/>
      <c r="V67" s="576"/>
      <c r="W67" s="576"/>
      <c r="X67" s="591"/>
      <c r="Y67" s="588"/>
      <c r="Z67" s="591"/>
      <c r="AA67" s="588"/>
      <c r="AB67" s="576"/>
    </row>
    <row r="68" spans="1:28" s="586" customFormat="1" ht="11.25">
      <c r="A68" s="576"/>
      <c r="B68" s="587" t="s">
        <v>490</v>
      </c>
      <c r="C68" s="592"/>
      <c r="D68" s="588"/>
      <c r="E68" s="588"/>
      <c r="F68" s="588"/>
      <c r="G68" s="588"/>
      <c r="H68" s="588"/>
      <c r="I68" s="588"/>
      <c r="J68" s="588"/>
      <c r="K68" s="588"/>
      <c r="L68" s="588"/>
      <c r="M68" s="588"/>
      <c r="N68" s="588"/>
      <c r="O68" s="593"/>
      <c r="P68" s="589"/>
      <c r="Q68" s="576" t="s">
        <v>421</v>
      </c>
      <c r="R68" s="588">
        <v>0</v>
      </c>
      <c r="S68" s="576">
        <v>0</v>
      </c>
      <c r="T68" s="591">
        <v>0</v>
      </c>
      <c r="U68" s="594"/>
      <c r="V68" s="576"/>
      <c r="W68" s="576"/>
      <c r="X68" s="591">
        <v>63000</v>
      </c>
      <c r="Y68" s="594"/>
      <c r="Z68" s="591">
        <v>3490</v>
      </c>
      <c r="AA68" s="594"/>
      <c r="AB68" s="595" t="s">
        <v>521</v>
      </c>
    </row>
    <row r="69" spans="1:28" s="586" customFormat="1" ht="7.5" customHeight="1">
      <c r="A69" s="596"/>
      <c r="B69" s="597"/>
      <c r="C69" s="598"/>
      <c r="D69" s="598"/>
      <c r="E69" s="598"/>
      <c r="F69" s="598"/>
      <c r="G69" s="598"/>
      <c r="H69" s="598"/>
      <c r="I69" s="598"/>
      <c r="J69" s="598"/>
      <c r="K69" s="598"/>
      <c r="L69" s="598"/>
      <c r="M69" s="598"/>
      <c r="N69" s="598"/>
      <c r="O69" s="599"/>
      <c r="P69" s="600"/>
      <c r="Q69" s="596"/>
      <c r="R69" s="598"/>
      <c r="S69" s="596"/>
      <c r="T69" s="601"/>
      <c r="U69" s="597"/>
      <c r="V69" s="596"/>
      <c r="W69" s="596"/>
      <c r="X69" s="602"/>
      <c r="Y69" s="598"/>
      <c r="Z69" s="602"/>
      <c r="AA69" s="598"/>
      <c r="AB69" s="596"/>
    </row>
    <row r="70" spans="1:28" s="607" customFormat="1" ht="24" customHeight="1" thickBot="1">
      <c r="A70" s="606"/>
      <c r="P70" s="608"/>
      <c r="T70" s="609" t="s">
        <v>156</v>
      </c>
      <c r="U70" s="610"/>
      <c r="V70" s="610"/>
      <c r="W70" s="611"/>
      <c r="X70" s="612">
        <f>SUM(X10:X69)</f>
        <v>660624</v>
      </c>
      <c r="Y70" s="613" t="s">
        <v>155</v>
      </c>
      <c r="Z70" s="612">
        <f>SUM(Z10:Z69)</f>
        <v>44842</v>
      </c>
      <c r="AA70" s="613" t="s">
        <v>155</v>
      </c>
      <c r="AB70" s="614"/>
    </row>
    <row r="71" spans="1:28" s="615" customFormat="1" ht="13.5" thickTop="1"/>
    <row r="72" spans="1:28" s="615" customFormat="1" ht="12.75"/>
    <row r="73" spans="1:28" s="616" customFormat="1" ht="27" customHeight="1">
      <c r="V73" s="616" t="s">
        <v>218</v>
      </c>
    </row>
    <row r="74" spans="1:28" s="616" customFormat="1" ht="27.75" customHeight="1">
      <c r="V74" s="616" t="s">
        <v>219</v>
      </c>
    </row>
    <row r="75" spans="1:28" s="616" customFormat="1" ht="27" customHeight="1">
      <c r="V75" s="616" t="s">
        <v>220</v>
      </c>
    </row>
    <row r="77" spans="1:28" ht="27" customHeight="1"/>
    <row r="78" spans="1:28" ht="27.75" customHeight="1"/>
    <row r="79" spans="1:28" ht="27" customHeight="1"/>
  </sheetData>
  <mergeCells count="15">
    <mergeCell ref="Z8:AA8"/>
    <mergeCell ref="T8:U8"/>
    <mergeCell ref="T7:U7"/>
    <mergeCell ref="X7:Y7"/>
    <mergeCell ref="X8:Y8"/>
    <mergeCell ref="G3:V3"/>
    <mergeCell ref="Z5:AB5"/>
    <mergeCell ref="Z6:AB6"/>
    <mergeCell ref="V5:Y5"/>
    <mergeCell ref="V6:Y6"/>
    <mergeCell ref="C5:O5"/>
    <mergeCell ref="F6:O6"/>
    <mergeCell ref="Q5:U5"/>
    <mergeCell ref="R6:S6"/>
    <mergeCell ref="T6:U6"/>
  </mergeCells>
  <phoneticPr fontId="27" type="noConversion"/>
  <printOptions horizontalCentered="1"/>
  <pageMargins left="0.15748031496062992" right="0.15748031496062992" top="0.49" bottom="0.56999999999999995" header="0.28999999999999998" footer="0.43"/>
  <pageSetup paperSize="9" fitToHeight="57" orientation="landscape" r:id="rId1"/>
  <headerFooter alignWithMargins="0">
    <oddHeader>&amp;Rแผ่นที่ &amp;P ในจำนวน &amp;N แผ่น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21111111122" enableFormatConditionsCalculation="0">
    <tabColor indexed="21"/>
    <pageSetUpPr fitToPage="1"/>
  </sheetPr>
  <dimension ref="A1:J54"/>
  <sheetViews>
    <sheetView showGridLines="0" workbookViewId="0"/>
  </sheetViews>
  <sheetFormatPr defaultRowHeight="21.75"/>
  <cols>
    <col min="1" max="1" width="8.85546875" style="687" bestFit="1" customWidth="1"/>
    <col min="2" max="2" width="8.7109375" style="687" customWidth="1"/>
    <col min="3" max="3" width="17.42578125" style="687" customWidth="1"/>
    <col min="4" max="4" width="11" style="687" customWidth="1"/>
    <col min="5" max="5" width="15" style="687" customWidth="1"/>
    <col min="6" max="6" width="13.7109375" style="687" customWidth="1"/>
    <col min="7" max="7" width="21.140625" style="687" customWidth="1"/>
    <col min="8" max="10" width="20.7109375" style="687" customWidth="1"/>
    <col min="11" max="16384" width="9.140625" style="687"/>
  </cols>
  <sheetData>
    <row r="1" spans="1:10" s="564" customFormat="1" ht="15">
      <c r="A1" s="572" t="str">
        <f>CompanyProfile!$C$2</f>
        <v>หจก.ศิวะกรเซฟตี้ จำกัด</v>
      </c>
      <c r="B1" s="573"/>
      <c r="C1" s="573"/>
      <c r="D1" s="573"/>
      <c r="E1" s="573"/>
      <c r="F1" s="573"/>
      <c r="G1" s="573"/>
    </row>
    <row r="2" spans="1:10" s="564" customFormat="1" ht="15">
      <c r="A2" s="572" t="s">
        <v>199</v>
      </c>
      <c r="B2" s="573"/>
      <c r="C2" s="573"/>
      <c r="D2" s="573"/>
      <c r="E2" s="573"/>
      <c r="F2" s="573"/>
      <c r="G2" s="573"/>
    </row>
    <row r="3" spans="1:10" s="564" customFormat="1" ht="15">
      <c r="A3" s="572" t="str">
        <f>"ประจำงวดวันที่ "&amp;TEXT(CompanyProfile!$C$12,"d ดดดด พ.ศ. bbbb")</f>
        <v>ประจำงวดวันที่ 5 กุมภาพันธ์ พ.ศ. 2557</v>
      </c>
      <c r="B3" s="573"/>
      <c r="C3" s="573"/>
      <c r="D3" s="573"/>
      <c r="E3" s="573"/>
      <c r="F3" s="573"/>
      <c r="G3" s="573"/>
    </row>
    <row r="4" spans="1:10" s="564" customFormat="1" ht="15">
      <c r="A4" s="497" t="s">
        <v>50</v>
      </c>
      <c r="B4" s="497" t="s">
        <v>192</v>
      </c>
      <c r="C4" s="498" t="s">
        <v>168</v>
      </c>
      <c r="D4" s="498" t="s">
        <v>166</v>
      </c>
      <c r="E4" s="498" t="s">
        <v>412</v>
      </c>
      <c r="F4" s="498" t="s">
        <v>167</v>
      </c>
      <c r="G4" s="499" t="s">
        <v>147</v>
      </c>
      <c r="H4" s="498" t="s">
        <v>412</v>
      </c>
      <c r="I4" s="498" t="s">
        <v>168</v>
      </c>
      <c r="J4" s="499" t="s">
        <v>147</v>
      </c>
    </row>
    <row r="5" spans="1:10" s="500" customFormat="1" ht="12.75">
      <c r="A5" s="348">
        <v>1</v>
      </c>
      <c r="B5" s="348" t="s">
        <v>453</v>
      </c>
      <c r="C5" s="208">
        <v>1234567890</v>
      </c>
      <c r="D5" s="348" t="s">
        <v>427</v>
      </c>
      <c r="E5" s="500" t="s">
        <v>431</v>
      </c>
      <c r="F5" s="500" t="s">
        <v>465</v>
      </c>
      <c r="G5" s="501">
        <v>11520</v>
      </c>
      <c r="H5" s="500" t="s">
        <v>500</v>
      </c>
      <c r="I5" s="348">
        <v>1234567890</v>
      </c>
      <c r="J5" s="501">
        <v>11520</v>
      </c>
    </row>
    <row r="6" spans="1:10" s="500" customFormat="1" ht="12.75">
      <c r="A6" s="348">
        <v>2</v>
      </c>
      <c r="B6" s="348" t="s">
        <v>453</v>
      </c>
      <c r="C6" s="208">
        <v>1234567890</v>
      </c>
      <c r="D6" s="348" t="s">
        <v>173</v>
      </c>
      <c r="E6" s="500" t="s">
        <v>440</v>
      </c>
      <c r="F6" s="500" t="s">
        <v>474</v>
      </c>
      <c r="G6" s="501">
        <v>30120</v>
      </c>
      <c r="H6" s="500" t="s">
        <v>484</v>
      </c>
      <c r="I6" s="348">
        <v>1234567890</v>
      </c>
      <c r="J6" s="501">
        <v>30120</v>
      </c>
    </row>
    <row r="7" spans="1:10" s="500" customFormat="1" ht="12.75">
      <c r="A7" s="348">
        <v>3</v>
      </c>
      <c r="B7" s="348" t="s">
        <v>453</v>
      </c>
      <c r="C7" s="208">
        <v>1234567890</v>
      </c>
      <c r="D7" s="348" t="s">
        <v>173</v>
      </c>
      <c r="E7" s="500" t="s">
        <v>428</v>
      </c>
      <c r="F7" s="500" t="s">
        <v>477</v>
      </c>
      <c r="G7" s="501">
        <v>38981</v>
      </c>
      <c r="H7" s="500" t="s">
        <v>486</v>
      </c>
      <c r="I7" s="348">
        <v>1234567890</v>
      </c>
      <c r="J7" s="501">
        <v>38981</v>
      </c>
    </row>
    <row r="8" spans="1:10" s="500" customFormat="1" ht="12.75">
      <c r="A8" s="348">
        <v>4</v>
      </c>
      <c r="B8" s="348" t="s">
        <v>453</v>
      </c>
      <c r="C8" s="208">
        <v>1234567890</v>
      </c>
      <c r="D8" s="348" t="s">
        <v>173</v>
      </c>
      <c r="E8" s="500" t="s">
        <v>431</v>
      </c>
      <c r="F8" s="500" t="s">
        <v>480</v>
      </c>
      <c r="G8" s="501">
        <v>20913</v>
      </c>
      <c r="H8" s="500" t="s">
        <v>489</v>
      </c>
      <c r="I8" s="348">
        <v>1234567890</v>
      </c>
      <c r="J8" s="501">
        <v>20913</v>
      </c>
    </row>
    <row r="9" spans="1:10" s="500" customFormat="1" ht="12.75">
      <c r="A9" s="348"/>
      <c r="B9" s="348"/>
      <c r="C9" s="208"/>
      <c r="D9" s="348"/>
      <c r="F9" s="500" t="s">
        <v>198</v>
      </c>
      <c r="G9" s="510">
        <v>101534</v>
      </c>
      <c r="I9" s="348"/>
      <c r="J9" s="501"/>
    </row>
    <row r="10" spans="1:10" s="500" customFormat="1" ht="12.75">
      <c r="A10" s="348">
        <v>1</v>
      </c>
      <c r="B10" s="348" t="s">
        <v>452</v>
      </c>
      <c r="C10" s="208">
        <v>1234567890</v>
      </c>
      <c r="D10" s="348" t="s">
        <v>427</v>
      </c>
      <c r="E10" s="500" t="s">
        <v>430</v>
      </c>
      <c r="F10" s="500" t="s">
        <v>464</v>
      </c>
      <c r="G10" s="501">
        <v>101328</v>
      </c>
      <c r="H10" s="500" t="s">
        <v>499</v>
      </c>
      <c r="I10" s="348">
        <v>1234567890</v>
      </c>
      <c r="J10" s="501">
        <v>101328</v>
      </c>
    </row>
    <row r="11" spans="1:10" s="500" customFormat="1" ht="12.75">
      <c r="A11" s="348">
        <v>2</v>
      </c>
      <c r="B11" s="348" t="s">
        <v>452</v>
      </c>
      <c r="C11" s="208">
        <v>1234567890</v>
      </c>
      <c r="D11" s="348" t="s">
        <v>173</v>
      </c>
      <c r="E11" s="500" t="s">
        <v>436</v>
      </c>
      <c r="F11" s="500" t="s">
        <v>470</v>
      </c>
      <c r="G11" s="501">
        <v>5760</v>
      </c>
      <c r="H11" s="500" t="s">
        <v>501</v>
      </c>
      <c r="I11" s="348">
        <v>1234567890</v>
      </c>
      <c r="J11" s="501">
        <v>5760</v>
      </c>
    </row>
    <row r="12" spans="1:10" s="500" customFormat="1" ht="12.75">
      <c r="A12" s="348">
        <v>3</v>
      </c>
      <c r="B12" s="348" t="s">
        <v>452</v>
      </c>
      <c r="C12" s="208">
        <v>1234567890</v>
      </c>
      <c r="D12" s="348" t="s">
        <v>427</v>
      </c>
      <c r="E12" s="500" t="s">
        <v>439</v>
      </c>
      <c r="F12" s="500" t="s">
        <v>473</v>
      </c>
      <c r="G12" s="501">
        <v>7252</v>
      </c>
      <c r="H12" s="500" t="s">
        <v>502</v>
      </c>
      <c r="I12" s="348">
        <v>1234567890</v>
      </c>
      <c r="J12" s="501">
        <v>7252</v>
      </c>
    </row>
    <row r="13" spans="1:10" s="500" customFormat="1" ht="12.75">
      <c r="A13" s="348">
        <v>4</v>
      </c>
      <c r="B13" s="348" t="s">
        <v>452</v>
      </c>
      <c r="C13" s="208">
        <v>1234567890</v>
      </c>
      <c r="D13" s="348" t="s">
        <v>427</v>
      </c>
      <c r="E13" s="500" t="s">
        <v>442</v>
      </c>
      <c r="F13" s="500" t="s">
        <v>476</v>
      </c>
      <c r="G13" s="501">
        <v>21954</v>
      </c>
      <c r="H13" s="500" t="s">
        <v>503</v>
      </c>
      <c r="I13" s="348">
        <v>1234567890</v>
      </c>
      <c r="J13" s="501">
        <v>21954</v>
      </c>
    </row>
    <row r="14" spans="1:10" s="500" customFormat="1" ht="12.75">
      <c r="A14" s="348">
        <v>5</v>
      </c>
      <c r="B14" s="348" t="s">
        <v>452</v>
      </c>
      <c r="C14" s="208">
        <v>1234567890</v>
      </c>
      <c r="D14" s="348" t="s">
        <v>173</v>
      </c>
      <c r="E14" s="500" t="s">
        <v>430</v>
      </c>
      <c r="F14" s="500" t="s">
        <v>479</v>
      </c>
      <c r="G14" s="501">
        <v>23306</v>
      </c>
      <c r="H14" s="500" t="s">
        <v>488</v>
      </c>
      <c r="I14" s="348">
        <v>1234567890</v>
      </c>
      <c r="J14" s="501">
        <v>23306</v>
      </c>
    </row>
    <row r="15" spans="1:10" s="500" customFormat="1" ht="12.75">
      <c r="A15" s="348"/>
      <c r="B15" s="348"/>
      <c r="C15" s="208"/>
      <c r="D15" s="348"/>
      <c r="F15" s="500" t="s">
        <v>198</v>
      </c>
      <c r="G15" s="510">
        <v>159600</v>
      </c>
      <c r="I15" s="348"/>
      <c r="J15" s="501"/>
    </row>
    <row r="16" spans="1:10" s="500" customFormat="1" ht="12.75">
      <c r="A16" s="348">
        <v>1</v>
      </c>
      <c r="B16" s="348" t="s">
        <v>451</v>
      </c>
      <c r="C16" s="208">
        <v>1234567890</v>
      </c>
      <c r="D16" s="348" t="s">
        <v>427</v>
      </c>
      <c r="E16" s="500" t="s">
        <v>429</v>
      </c>
      <c r="F16" s="500" t="s">
        <v>463</v>
      </c>
      <c r="G16" s="501">
        <v>146561</v>
      </c>
      <c r="H16" s="500" t="s">
        <v>482</v>
      </c>
      <c r="I16" s="348">
        <v>1234567890</v>
      </c>
      <c r="J16" s="501">
        <v>146561</v>
      </c>
    </row>
    <row r="17" spans="1:10" s="500" customFormat="1" ht="12.75">
      <c r="A17" s="348">
        <v>2</v>
      </c>
      <c r="B17" s="348" t="s">
        <v>451</v>
      </c>
      <c r="C17" s="208">
        <v>1234567890</v>
      </c>
      <c r="D17" s="348" t="s">
        <v>173</v>
      </c>
      <c r="E17" s="500" t="s">
        <v>432</v>
      </c>
      <c r="F17" s="500" t="s">
        <v>466</v>
      </c>
      <c r="G17" s="501">
        <v>37216</v>
      </c>
      <c r="H17" s="500" t="s">
        <v>483</v>
      </c>
      <c r="I17" s="348">
        <v>1234567890</v>
      </c>
      <c r="J17" s="501">
        <v>37216</v>
      </c>
    </row>
    <row r="18" spans="1:10" s="500" customFormat="1" ht="12.75">
      <c r="A18" s="348">
        <v>3</v>
      </c>
      <c r="B18" s="348" t="s">
        <v>451</v>
      </c>
      <c r="C18" s="208">
        <v>1234567890</v>
      </c>
      <c r="D18" s="348" t="s">
        <v>427</v>
      </c>
      <c r="E18" s="500" t="s">
        <v>438</v>
      </c>
      <c r="F18" s="500" t="s">
        <v>472</v>
      </c>
      <c r="G18" s="501">
        <v>45815</v>
      </c>
      <c r="H18" s="500" t="s">
        <v>522</v>
      </c>
      <c r="I18" s="348">
        <v>1234567890</v>
      </c>
      <c r="J18" s="501">
        <v>45815</v>
      </c>
    </row>
    <row r="19" spans="1:10" s="500" customFormat="1" ht="12.75">
      <c r="A19" s="348">
        <v>4</v>
      </c>
      <c r="B19" s="348" t="s">
        <v>451</v>
      </c>
      <c r="C19" s="208">
        <v>1234567890</v>
      </c>
      <c r="D19" s="348" t="s">
        <v>173</v>
      </c>
      <c r="E19" s="500" t="s">
        <v>441</v>
      </c>
      <c r="F19" s="500" t="s">
        <v>475</v>
      </c>
      <c r="G19" s="501">
        <v>19400</v>
      </c>
      <c r="H19" s="500" t="s">
        <v>485</v>
      </c>
      <c r="I19" s="348">
        <v>1234567890</v>
      </c>
      <c r="J19" s="501">
        <v>19400</v>
      </c>
    </row>
    <row r="20" spans="1:10" s="500" customFormat="1" ht="12.75">
      <c r="A20" s="348">
        <v>5</v>
      </c>
      <c r="B20" s="348" t="s">
        <v>451</v>
      </c>
      <c r="C20" s="208">
        <v>1234567890</v>
      </c>
      <c r="D20" s="348" t="s">
        <v>173</v>
      </c>
      <c r="E20" s="500" t="s">
        <v>429</v>
      </c>
      <c r="F20" s="500" t="s">
        <v>478</v>
      </c>
      <c r="G20" s="501">
        <v>38524</v>
      </c>
      <c r="H20" s="500" t="s">
        <v>487</v>
      </c>
      <c r="I20" s="348">
        <v>1234567890</v>
      </c>
      <c r="J20" s="501">
        <v>38524</v>
      </c>
    </row>
    <row r="21" spans="1:10" s="500" customFormat="1" ht="12.75">
      <c r="A21" s="348">
        <v>6</v>
      </c>
      <c r="B21" s="348" t="s">
        <v>451</v>
      </c>
      <c r="C21" s="208">
        <v>1234567890</v>
      </c>
      <c r="D21" s="348" t="s">
        <v>173</v>
      </c>
      <c r="E21" s="500" t="s">
        <v>432</v>
      </c>
      <c r="F21" s="500" t="s">
        <v>481</v>
      </c>
      <c r="G21" s="501">
        <v>58910</v>
      </c>
      <c r="H21" s="500" t="s">
        <v>490</v>
      </c>
      <c r="I21" s="348">
        <v>1234567890</v>
      </c>
      <c r="J21" s="501">
        <v>58910</v>
      </c>
    </row>
    <row r="22" spans="1:10" s="553" customFormat="1" ht="12.75">
      <c r="A22" s="685"/>
      <c r="B22" s="685"/>
      <c r="C22" s="688"/>
      <c r="D22" s="685"/>
      <c r="F22" s="553" t="s">
        <v>198</v>
      </c>
      <c r="G22" s="510">
        <v>346426</v>
      </c>
      <c r="I22" s="685"/>
      <c r="J22" s="686"/>
    </row>
    <row r="23" spans="1:10" s="553" customFormat="1" ht="13.5" thickBot="1">
      <c r="A23" s="685"/>
      <c r="B23" s="685"/>
      <c r="C23" s="688"/>
      <c r="D23" s="685"/>
      <c r="F23" s="553" t="s">
        <v>197</v>
      </c>
      <c r="G23" s="708">
        <v>607560</v>
      </c>
      <c r="I23" s="685"/>
      <c r="J23" s="686"/>
    </row>
    <row r="24" spans="1:10" s="553" customFormat="1" ht="13.5" thickTop="1">
      <c r="A24" s="685"/>
      <c r="B24" s="685"/>
      <c r="C24" s="688"/>
      <c r="D24" s="685"/>
      <c r="G24" s="686"/>
      <c r="I24" s="685"/>
      <c r="J24" s="686"/>
    </row>
    <row r="25" spans="1:10" s="553" customFormat="1" ht="12.75">
      <c r="A25" s="685"/>
      <c r="B25" s="685"/>
      <c r="C25" s="688"/>
      <c r="D25" s="685"/>
      <c r="G25" s="686"/>
      <c r="I25" s="685"/>
      <c r="J25" s="686"/>
    </row>
    <row r="26" spans="1:10" s="553" customFormat="1" ht="12.75">
      <c r="A26" s="685"/>
      <c r="B26" s="685"/>
      <c r="C26" s="688"/>
      <c r="D26" s="685"/>
      <c r="G26" s="686"/>
      <c r="I26" s="685"/>
      <c r="J26" s="686"/>
    </row>
    <row r="27" spans="1:10" s="553" customFormat="1" ht="12.75">
      <c r="A27" s="685"/>
      <c r="B27" s="685"/>
      <c r="C27" s="688"/>
      <c r="D27" s="685"/>
      <c r="G27" s="686"/>
      <c r="I27" s="685"/>
      <c r="J27" s="686"/>
    </row>
    <row r="28" spans="1:10" s="553" customFormat="1" ht="12.75">
      <c r="A28" s="685"/>
      <c r="B28" s="685"/>
      <c r="C28" s="688"/>
      <c r="D28" s="685"/>
      <c r="G28" s="686"/>
      <c r="I28" s="685"/>
      <c r="J28" s="686"/>
    </row>
    <row r="29" spans="1:10" s="553" customFormat="1" ht="12.75">
      <c r="A29" s="685"/>
      <c r="B29" s="685"/>
      <c r="C29" s="688"/>
      <c r="D29" s="685"/>
      <c r="G29" s="686"/>
      <c r="I29" s="685"/>
      <c r="J29" s="686"/>
    </row>
    <row r="30" spans="1:10" s="553" customFormat="1" ht="12.75">
      <c r="A30" s="685"/>
      <c r="B30" s="685"/>
      <c r="C30" s="688"/>
      <c r="D30" s="685"/>
      <c r="G30" s="686"/>
      <c r="I30" s="685"/>
      <c r="J30" s="686"/>
    </row>
    <row r="31" spans="1:10" s="553" customFormat="1" ht="12.75">
      <c r="A31" s="685"/>
      <c r="B31" s="685"/>
      <c r="C31" s="688"/>
      <c r="D31" s="685"/>
      <c r="G31" s="686"/>
      <c r="I31" s="685"/>
      <c r="J31" s="686"/>
    </row>
    <row r="32" spans="1:10" s="553" customFormat="1" ht="12.75">
      <c r="A32" s="685"/>
      <c r="B32" s="685"/>
      <c r="C32" s="688"/>
      <c r="D32" s="685"/>
      <c r="G32" s="686"/>
      <c r="I32" s="685"/>
      <c r="J32" s="686"/>
    </row>
    <row r="33" spans="1:10" s="553" customFormat="1" ht="12.75">
      <c r="A33" s="685"/>
      <c r="B33" s="685"/>
      <c r="C33" s="688"/>
      <c r="D33" s="685"/>
      <c r="G33" s="686"/>
      <c r="I33" s="685"/>
      <c r="J33" s="686"/>
    </row>
    <row r="34" spans="1:10" s="553" customFormat="1" ht="12.75">
      <c r="A34" s="685"/>
      <c r="B34" s="685"/>
      <c r="C34" s="688"/>
      <c r="D34" s="685"/>
      <c r="G34" s="686"/>
      <c r="I34" s="685"/>
      <c r="J34" s="686"/>
    </row>
    <row r="35" spans="1:10" s="553" customFormat="1" ht="12.75">
      <c r="A35" s="685"/>
      <c r="B35" s="685"/>
      <c r="C35" s="688"/>
      <c r="D35" s="685"/>
      <c r="G35" s="686"/>
      <c r="I35" s="685"/>
      <c r="J35" s="686"/>
    </row>
    <row r="36" spans="1:10" s="553" customFormat="1" ht="12.75">
      <c r="A36" s="685"/>
      <c r="B36" s="685"/>
      <c r="C36" s="688"/>
      <c r="D36" s="685"/>
      <c r="G36" s="686"/>
      <c r="I36" s="685"/>
      <c r="J36" s="686"/>
    </row>
    <row r="37" spans="1:10" s="553" customFormat="1" ht="12.75">
      <c r="A37" s="685"/>
      <c r="B37" s="685"/>
      <c r="C37" s="688"/>
      <c r="D37" s="685"/>
      <c r="G37" s="686"/>
      <c r="I37" s="685"/>
      <c r="J37" s="686"/>
    </row>
    <row r="38" spans="1:10" s="553" customFormat="1" ht="12.75">
      <c r="A38" s="685"/>
      <c r="B38" s="685"/>
      <c r="C38" s="688"/>
      <c r="D38" s="685"/>
      <c r="G38" s="686"/>
      <c r="I38" s="685"/>
      <c r="J38" s="686"/>
    </row>
    <row r="39" spans="1:10" s="553" customFormat="1" ht="12.75">
      <c r="A39" s="685"/>
      <c r="B39" s="685"/>
      <c r="C39" s="688"/>
      <c r="D39" s="685"/>
      <c r="G39" s="686"/>
      <c r="I39" s="685"/>
      <c r="J39" s="686"/>
    </row>
    <row r="40" spans="1:10" s="553" customFormat="1" ht="12.75">
      <c r="A40" s="685"/>
      <c r="B40" s="685"/>
      <c r="C40" s="688"/>
      <c r="D40" s="685"/>
      <c r="G40" s="686"/>
      <c r="I40" s="685"/>
      <c r="J40" s="686"/>
    </row>
    <row r="41" spans="1:10" s="553" customFormat="1" ht="12.75">
      <c r="A41" s="685"/>
      <c r="B41" s="685"/>
      <c r="C41" s="688"/>
      <c r="D41" s="685"/>
      <c r="G41" s="686"/>
      <c r="I41" s="685"/>
      <c r="J41" s="686"/>
    </row>
    <row r="42" spans="1:10" s="553" customFormat="1" ht="12.75">
      <c r="A42" s="685"/>
      <c r="B42" s="685"/>
      <c r="C42" s="688"/>
      <c r="D42" s="685"/>
      <c r="G42" s="686"/>
      <c r="I42" s="685"/>
      <c r="J42" s="686"/>
    </row>
    <row r="43" spans="1:10" s="553" customFormat="1" ht="12.75">
      <c r="A43" s="685"/>
      <c r="B43" s="685"/>
      <c r="C43" s="688"/>
      <c r="D43" s="685"/>
      <c r="G43" s="686"/>
      <c r="I43" s="685"/>
      <c r="J43" s="686"/>
    </row>
    <row r="44" spans="1:10" s="553" customFormat="1" ht="12.75">
      <c r="A44" s="685"/>
      <c r="B44" s="685"/>
      <c r="C44" s="688"/>
      <c r="D44" s="685"/>
      <c r="G44" s="686"/>
      <c r="I44" s="685"/>
      <c r="J44" s="686"/>
    </row>
    <row r="45" spans="1:10" s="553" customFormat="1" ht="12.75">
      <c r="A45" s="685"/>
      <c r="B45" s="685"/>
      <c r="C45" s="688"/>
      <c r="D45" s="685"/>
      <c r="G45" s="686"/>
      <c r="I45" s="685"/>
      <c r="J45" s="686"/>
    </row>
    <row r="46" spans="1:10" s="553" customFormat="1" ht="12.75">
      <c r="A46" s="685"/>
      <c r="B46" s="685"/>
      <c r="C46" s="688"/>
      <c r="D46" s="685"/>
      <c r="G46" s="686"/>
      <c r="I46" s="685"/>
      <c r="J46" s="686"/>
    </row>
    <row r="47" spans="1:10" s="553" customFormat="1" ht="12.75">
      <c r="A47" s="685"/>
      <c r="B47" s="685"/>
      <c r="C47" s="688"/>
      <c r="D47" s="685"/>
      <c r="G47" s="686"/>
      <c r="I47" s="685"/>
      <c r="J47" s="686"/>
    </row>
    <row r="48" spans="1:10" s="553" customFormat="1" ht="12.75">
      <c r="A48" s="685"/>
      <c r="B48" s="685"/>
      <c r="C48" s="688"/>
      <c r="D48" s="685"/>
      <c r="G48" s="686"/>
      <c r="I48" s="685"/>
      <c r="J48" s="686"/>
    </row>
    <row r="49" spans="1:10" s="553" customFormat="1" ht="12.75">
      <c r="A49" s="685"/>
      <c r="B49" s="685"/>
      <c r="C49" s="688"/>
      <c r="D49" s="685"/>
      <c r="G49" s="686"/>
      <c r="I49" s="685"/>
      <c r="J49" s="686"/>
    </row>
    <row r="50" spans="1:10" s="553" customFormat="1" ht="12.75">
      <c r="A50" s="685"/>
      <c r="B50" s="685"/>
      <c r="C50" s="688"/>
      <c r="D50" s="685"/>
      <c r="G50" s="686"/>
      <c r="I50" s="685"/>
      <c r="J50" s="686"/>
    </row>
    <row r="51" spans="1:10" s="553" customFormat="1" ht="12.75">
      <c r="A51" s="685"/>
      <c r="B51" s="685"/>
      <c r="C51" s="688"/>
      <c r="D51" s="685"/>
      <c r="G51" s="686"/>
      <c r="I51" s="685"/>
      <c r="J51" s="686"/>
    </row>
    <row r="52" spans="1:10" s="553" customFormat="1" ht="12.75">
      <c r="A52" s="685"/>
      <c r="B52" s="685"/>
      <c r="C52" s="688"/>
      <c r="D52" s="685"/>
      <c r="G52" s="686"/>
      <c r="I52" s="685"/>
      <c r="J52" s="686"/>
    </row>
    <row r="53" spans="1:10" s="553" customFormat="1" ht="12.75">
      <c r="A53" s="685"/>
      <c r="B53" s="685"/>
      <c r="C53" s="688"/>
      <c r="D53" s="685"/>
      <c r="G53" s="686"/>
      <c r="I53" s="685"/>
      <c r="J53" s="686"/>
    </row>
    <row r="54" spans="1:10" s="553" customFormat="1" ht="12.75">
      <c r="A54" s="685"/>
      <c r="B54" s="685"/>
      <c r="C54" s="688"/>
      <c r="D54" s="685"/>
      <c r="G54" s="686"/>
      <c r="I54" s="685"/>
      <c r="J54" s="686"/>
    </row>
  </sheetData>
  <sortState ref="A5:Z52">
    <sortCondition ref="B5"/>
  </sortState>
  <phoneticPr fontId="27" type="noConversion"/>
  <conditionalFormatting sqref="C22:C54">
    <cfRule type="expression" dxfId="15" priority="106" stopIfTrue="1">
      <formula>$AD22&gt;0</formula>
    </cfRule>
  </conditionalFormatting>
  <conditionalFormatting sqref="C5">
    <cfRule type="expression" dxfId="14" priority="15" stopIfTrue="1">
      <formula>$AD5&gt;0</formula>
    </cfRule>
  </conditionalFormatting>
  <conditionalFormatting sqref="C6">
    <cfRule type="expression" dxfId="13" priority="14" stopIfTrue="1">
      <formula>$AD6&gt;0</formula>
    </cfRule>
  </conditionalFormatting>
  <conditionalFormatting sqref="C7">
    <cfRule type="expression" dxfId="12" priority="13" stopIfTrue="1">
      <formula>$AD7&gt;0</formula>
    </cfRule>
  </conditionalFormatting>
  <conditionalFormatting sqref="C8:C9">
    <cfRule type="expression" dxfId="11" priority="12" stopIfTrue="1">
      <formula>$AD8&gt;0</formula>
    </cfRule>
  </conditionalFormatting>
  <conditionalFormatting sqref="C10">
    <cfRule type="expression" dxfId="10" priority="11" stopIfTrue="1">
      <formula>$AD10&gt;0</formula>
    </cfRule>
  </conditionalFormatting>
  <conditionalFormatting sqref="C11">
    <cfRule type="expression" dxfId="9" priority="10" stopIfTrue="1">
      <formula>$AD11&gt;0</formula>
    </cfRule>
  </conditionalFormatting>
  <conditionalFormatting sqref="C12">
    <cfRule type="expression" dxfId="8" priority="9" stopIfTrue="1">
      <formula>$AD12&gt;0</formula>
    </cfRule>
  </conditionalFormatting>
  <conditionalFormatting sqref="C13">
    <cfRule type="expression" dxfId="7" priority="8" stopIfTrue="1">
      <formula>$AD13&gt;0</formula>
    </cfRule>
  </conditionalFormatting>
  <conditionalFormatting sqref="C14:C15">
    <cfRule type="expression" dxfId="6" priority="7" stopIfTrue="1">
      <formula>$AD14&gt;0</formula>
    </cfRule>
  </conditionalFormatting>
  <conditionalFormatting sqref="C16">
    <cfRule type="expression" dxfId="5" priority="6" stopIfTrue="1">
      <formula>$AD16&gt;0</formula>
    </cfRule>
  </conditionalFormatting>
  <conditionalFormatting sqref="C17">
    <cfRule type="expression" dxfId="4" priority="5" stopIfTrue="1">
      <formula>$AD17&gt;0</formula>
    </cfRule>
  </conditionalFormatting>
  <conditionalFormatting sqref="C18">
    <cfRule type="expression" dxfId="3" priority="4" stopIfTrue="1">
      <formula>$AD18&gt;0</formula>
    </cfRule>
  </conditionalFormatting>
  <conditionalFormatting sqref="C19">
    <cfRule type="expression" dxfId="2" priority="3" stopIfTrue="1">
      <formula>$AD19&gt;0</formula>
    </cfRule>
  </conditionalFormatting>
  <conditionalFormatting sqref="C20">
    <cfRule type="expression" dxfId="1" priority="2" stopIfTrue="1">
      <formula>$AD20&gt;0</formula>
    </cfRule>
  </conditionalFormatting>
  <conditionalFormatting sqref="C21">
    <cfRule type="expression" dxfId="0" priority="1" stopIfTrue="1">
      <formula>$AD21&gt;0</formula>
    </cfRule>
  </conditionalFormatting>
  <printOptions horizontalCentered="1"/>
  <pageMargins left="0.55118110236220474" right="0.34" top="0.62992125984251968" bottom="0.66" header="0.31496062992125984" footer="0.19685039370078741"/>
  <pageSetup paperSize="9" fitToHeight="37" orientation="portrait" r:id="rId1"/>
  <headerFooter alignWithMargins="0">
    <oddHeader>&amp;RPage : 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8" enableFormatConditionsCalculation="0">
    <tabColor indexed="53"/>
    <pageSetUpPr fitToPage="1"/>
  </sheetPr>
  <dimension ref="A1:O37"/>
  <sheetViews>
    <sheetView showGridLines="0" zoomScale="75" workbookViewId="0"/>
  </sheetViews>
  <sheetFormatPr defaultRowHeight="21.75"/>
  <cols>
    <col min="1" max="1" width="9.140625" style="3"/>
    <col min="2" max="2" width="7" style="3" customWidth="1"/>
    <col min="3" max="3" width="6.7109375" style="3" customWidth="1"/>
    <col min="4" max="4" width="29.5703125" style="3" customWidth="1"/>
    <col min="5" max="5" width="13.85546875" style="3" customWidth="1"/>
    <col min="6" max="6" width="17.28515625" style="3" customWidth="1"/>
    <col min="7" max="7" width="17.5703125" style="61" customWidth="1"/>
    <col min="8" max="8" width="8.28515625" style="8" customWidth="1"/>
    <col min="9" max="9" width="9.140625" style="3"/>
    <col min="10" max="10" width="7" style="3" customWidth="1"/>
    <col min="11" max="11" width="9.140625" style="3"/>
    <col min="12" max="12" width="29.5703125" style="3" customWidth="1"/>
    <col min="13" max="13" width="13.85546875" style="3" customWidth="1"/>
    <col min="14" max="14" width="17.28515625" style="3" customWidth="1"/>
    <col min="15" max="15" width="17" style="61" customWidth="1"/>
    <col min="16" max="17" width="9.140625" style="3"/>
    <col min="18" max="18" width="10.140625" style="3" bestFit="1" customWidth="1"/>
    <col min="19" max="16384" width="9.140625" style="3"/>
  </cols>
  <sheetData>
    <row r="1" spans="1:15">
      <c r="A1" s="2" t="s">
        <v>75</v>
      </c>
      <c r="E1" s="4" t="s">
        <v>114</v>
      </c>
      <c r="G1" s="5" t="str">
        <f>+"เลขที่ : "&amp;CompanyProfile!C7&amp;TEXT(CompanyProfile!A88,"000")</f>
        <v>เลขที่ : HR57001</v>
      </c>
      <c r="H1" s="6"/>
      <c r="I1" s="2" t="s">
        <v>75</v>
      </c>
      <c r="M1" s="4" t="s">
        <v>114</v>
      </c>
      <c r="O1" s="5" t="str">
        <f>G1</f>
        <v>เลขที่ : HR57001</v>
      </c>
    </row>
    <row r="2" spans="1:15" ht="19.5" customHeight="1">
      <c r="A2" s="3" t="s">
        <v>76</v>
      </c>
      <c r="E2" s="4"/>
      <c r="G2" s="7"/>
      <c r="I2" s="3" t="s">
        <v>77</v>
      </c>
      <c r="M2" s="4"/>
      <c r="O2" s="7"/>
    </row>
    <row r="3" spans="1:15">
      <c r="A3" s="9" t="s">
        <v>78</v>
      </c>
      <c r="B3" s="10"/>
      <c r="C3" s="10"/>
      <c r="D3" s="10"/>
      <c r="E3" s="748" t="s">
        <v>79</v>
      </c>
      <c r="F3" s="748"/>
      <c r="G3" s="11" t="str">
        <f>CompanyProfile!C5</f>
        <v>1234567890123</v>
      </c>
      <c r="H3" s="12"/>
      <c r="I3" s="10" t="s">
        <v>78</v>
      </c>
      <c r="J3" s="10"/>
      <c r="K3" s="10"/>
      <c r="L3" s="10"/>
      <c r="M3" s="748" t="s">
        <v>79</v>
      </c>
      <c r="N3" s="748"/>
      <c r="O3" s="13" t="str">
        <f>G3</f>
        <v>1234567890123</v>
      </c>
    </row>
    <row r="4" spans="1:15">
      <c r="A4" s="14" t="s">
        <v>80</v>
      </c>
      <c r="B4" s="15" t="str">
        <f>CompanyProfile!C2</f>
        <v>หจก.ศิวะกรเซฟตี้ จำกัด</v>
      </c>
      <c r="C4" s="15"/>
      <c r="D4" s="15"/>
      <c r="E4" s="16"/>
      <c r="F4" s="16"/>
      <c r="G4" s="8"/>
      <c r="H4" s="17"/>
      <c r="I4" s="18" t="s">
        <v>80</v>
      </c>
      <c r="J4" s="15" t="str">
        <f>B4</f>
        <v>หจก.ศิวะกรเซฟตี้ จำกัด</v>
      </c>
      <c r="K4" s="15"/>
      <c r="L4" s="15"/>
      <c r="M4" s="16"/>
      <c r="N4" s="16"/>
      <c r="O4" s="19"/>
    </row>
    <row r="5" spans="1:15" ht="24">
      <c r="A5" s="20" t="s">
        <v>81</v>
      </c>
      <c r="B5" s="82" t="str">
        <f>CompanyProfile!C4</f>
        <v>52/617 หมู่ 10 ตำบลห้วยบง อำเภอเฉลิมพระเกียรติ จ.สระบุรี</v>
      </c>
      <c r="C5" s="21"/>
      <c r="D5" s="21"/>
      <c r="E5" s="21"/>
      <c r="F5" s="21"/>
      <c r="G5" s="22"/>
      <c r="H5" s="17"/>
      <c r="I5" s="23" t="s">
        <v>81</v>
      </c>
      <c r="J5" s="21" t="str">
        <f>B5</f>
        <v>52/617 หมู่ 10 ตำบลห้วยบง อำเภอเฉลิมพระเกียรติ จ.สระบุรี</v>
      </c>
      <c r="K5" s="21"/>
      <c r="L5" s="21"/>
      <c r="M5" s="21"/>
      <c r="N5" s="21"/>
      <c r="O5" s="24"/>
    </row>
    <row r="6" spans="1:15">
      <c r="A6" s="9" t="s">
        <v>82</v>
      </c>
      <c r="B6" s="10"/>
      <c r="C6" s="10"/>
      <c r="D6" s="10"/>
      <c r="E6" s="748" t="s">
        <v>79</v>
      </c>
      <c r="F6" s="748"/>
      <c r="G6" s="705" t="e">
        <f>IF(VLOOKUP(CompanyProfile!$B$88,Employee!$A:$I,6,FALSE)="","",VALUE(VLOOKUP(CompanyProfile!$B$88,Employee!$A:$I,6,FALSE)))</f>
        <v>#N/A</v>
      </c>
      <c r="H6" s="25"/>
      <c r="I6" s="9" t="s">
        <v>82</v>
      </c>
      <c r="J6" s="10"/>
      <c r="K6" s="10"/>
      <c r="L6" s="10"/>
      <c r="M6" s="748" t="s">
        <v>79</v>
      </c>
      <c r="N6" s="748"/>
      <c r="O6" s="706" t="e">
        <f>G6</f>
        <v>#N/A</v>
      </c>
    </row>
    <row r="7" spans="1:15">
      <c r="A7" s="14" t="s">
        <v>80</v>
      </c>
      <c r="B7" s="26" t="e">
        <f>VLOOKUP(CompanyProfile!$B$88,Employee!$A:$I,2,FALSE)&amp;VLOOKUP(CompanyProfile!$B$88,Employee!$A:$I,3,FALSE)&amp;"  "&amp;VLOOKUP(CompanyProfile!$B$88,Employee!$A:$I,4,FALSE)</f>
        <v>#N/A</v>
      </c>
      <c r="C7" s="16"/>
      <c r="D7" s="16"/>
      <c r="E7" s="752"/>
      <c r="F7" s="752"/>
      <c r="G7" s="114"/>
      <c r="H7" s="19"/>
      <c r="I7" s="14" t="s">
        <v>80</v>
      </c>
      <c r="J7" s="26" t="e">
        <f>+B7</f>
        <v>#N/A</v>
      </c>
      <c r="K7" s="16"/>
      <c r="L7" s="16"/>
      <c r="M7" s="752"/>
      <c r="N7" s="752"/>
      <c r="O7" s="114"/>
    </row>
    <row r="8" spans="1:15">
      <c r="A8" s="20" t="s">
        <v>81</v>
      </c>
      <c r="B8" s="27"/>
      <c r="C8" s="28"/>
      <c r="D8" s="28"/>
      <c r="E8" s="28"/>
      <c r="F8" s="28"/>
      <c r="G8" s="22"/>
      <c r="H8" s="17"/>
      <c r="I8" s="20" t="s">
        <v>81</v>
      </c>
      <c r="J8" s="27"/>
      <c r="K8" s="28"/>
      <c r="L8" s="28"/>
      <c r="M8" s="28"/>
      <c r="N8" s="28"/>
      <c r="O8" s="24"/>
    </row>
    <row r="9" spans="1:15">
      <c r="A9" s="14" t="s">
        <v>50</v>
      </c>
      <c r="B9" s="68">
        <f>CompanyProfile!A88</f>
        <v>1</v>
      </c>
      <c r="C9" s="18" t="s">
        <v>83</v>
      </c>
      <c r="D9" s="16" t="s">
        <v>115</v>
      </c>
      <c r="E9" s="16"/>
      <c r="F9" s="16"/>
      <c r="G9" s="8"/>
      <c r="H9" s="17"/>
      <c r="I9" s="18" t="s">
        <v>50</v>
      </c>
      <c r="J9" s="68">
        <f>B9</f>
        <v>1</v>
      </c>
      <c r="K9" s="18" t="s">
        <v>83</v>
      </c>
      <c r="L9" s="16" t="str">
        <f>D9</f>
        <v>ภงด.1 ก</v>
      </c>
      <c r="M9" s="16"/>
      <c r="N9" s="16"/>
      <c r="O9" s="19"/>
    </row>
    <row r="10" spans="1:15" ht="39.950000000000003" customHeight="1">
      <c r="A10" s="749" t="s">
        <v>84</v>
      </c>
      <c r="B10" s="750"/>
      <c r="C10" s="750"/>
      <c r="D10" s="751"/>
      <c r="E10" s="29" t="s">
        <v>85</v>
      </c>
      <c r="F10" s="30" t="s">
        <v>86</v>
      </c>
      <c r="G10" s="30" t="s">
        <v>87</v>
      </c>
      <c r="H10" s="31"/>
      <c r="I10" s="750" t="s">
        <v>84</v>
      </c>
      <c r="J10" s="750"/>
      <c r="K10" s="750"/>
      <c r="L10" s="751"/>
      <c r="M10" s="29" t="s">
        <v>85</v>
      </c>
      <c r="N10" s="30" t="s">
        <v>86</v>
      </c>
      <c r="O10" s="32" t="s">
        <v>87</v>
      </c>
    </row>
    <row r="11" spans="1:15" ht="28.5" customHeight="1">
      <c r="A11" s="67" t="s">
        <v>88</v>
      </c>
      <c r="B11" s="66"/>
      <c r="C11" s="66"/>
      <c r="D11" s="66"/>
      <c r="E11" s="358">
        <f>CompanyProfile!C13</f>
        <v>2557</v>
      </c>
      <c r="F11" s="73">
        <f>CompanyProfile!N88</f>
        <v>171500</v>
      </c>
      <c r="G11" s="73">
        <f>CompanyProfile!O88</f>
        <v>24339</v>
      </c>
      <c r="H11" s="17"/>
      <c r="I11" s="66" t="s">
        <v>88</v>
      </c>
      <c r="J11" s="66"/>
      <c r="K11" s="66"/>
      <c r="L11" s="66"/>
      <c r="M11" s="65">
        <f>E11</f>
        <v>2557</v>
      </c>
      <c r="N11" s="69">
        <f>F11</f>
        <v>171500</v>
      </c>
      <c r="O11" s="70">
        <f>G11</f>
        <v>24339</v>
      </c>
    </row>
    <row r="12" spans="1:15" ht="18" customHeight="1">
      <c r="A12" s="33" t="s">
        <v>89</v>
      </c>
      <c r="B12" s="34"/>
      <c r="C12" s="34"/>
      <c r="D12" s="34"/>
      <c r="E12" s="35"/>
      <c r="F12" s="74"/>
      <c r="G12" s="74"/>
      <c r="H12" s="17"/>
      <c r="I12" s="34" t="s">
        <v>89</v>
      </c>
      <c r="J12" s="34"/>
      <c r="K12" s="34"/>
      <c r="L12" s="34"/>
      <c r="M12" s="35"/>
      <c r="N12" s="35"/>
      <c r="O12" s="17"/>
    </row>
    <row r="13" spans="1:15" ht="18" customHeight="1">
      <c r="A13" s="33" t="s">
        <v>90</v>
      </c>
      <c r="B13" s="34"/>
      <c r="C13" s="34"/>
      <c r="D13" s="34"/>
      <c r="E13" s="35"/>
      <c r="F13" s="74"/>
      <c r="G13" s="74"/>
      <c r="H13" s="17"/>
      <c r="I13" s="34" t="s">
        <v>90</v>
      </c>
      <c r="J13" s="34"/>
      <c r="K13" s="34"/>
      <c r="L13" s="34"/>
      <c r="M13" s="35"/>
      <c r="N13" s="35"/>
      <c r="O13" s="17"/>
    </row>
    <row r="14" spans="1:15" ht="18" customHeight="1">
      <c r="A14" s="33" t="s">
        <v>91</v>
      </c>
      <c r="B14" s="34"/>
      <c r="C14" s="34"/>
      <c r="D14" s="34"/>
      <c r="E14" s="35"/>
      <c r="F14" s="74"/>
      <c r="G14" s="74"/>
      <c r="H14" s="17"/>
      <c r="I14" s="34" t="s">
        <v>91</v>
      </c>
      <c r="J14" s="34"/>
      <c r="K14" s="34"/>
      <c r="L14" s="34"/>
      <c r="M14" s="35"/>
      <c r="N14" s="35"/>
      <c r="O14" s="17"/>
    </row>
    <row r="15" spans="1:15" ht="18" customHeight="1">
      <c r="A15" s="33" t="s">
        <v>92</v>
      </c>
      <c r="B15" s="34"/>
      <c r="C15" s="34"/>
      <c r="D15" s="34"/>
      <c r="E15" s="35"/>
      <c r="F15" s="74"/>
      <c r="G15" s="74"/>
      <c r="H15" s="17"/>
      <c r="I15" s="34" t="s">
        <v>118</v>
      </c>
      <c r="J15" s="34"/>
      <c r="K15" s="34"/>
      <c r="L15" s="34"/>
      <c r="M15" s="35"/>
      <c r="N15" s="35"/>
      <c r="O15" s="17"/>
    </row>
    <row r="16" spans="1:15" ht="18" customHeight="1">
      <c r="A16" s="33" t="s">
        <v>93</v>
      </c>
      <c r="B16" s="34"/>
      <c r="C16" s="34"/>
      <c r="D16" s="34"/>
      <c r="E16" s="35"/>
      <c r="F16" s="74"/>
      <c r="G16" s="74"/>
      <c r="H16" s="17"/>
      <c r="I16" s="34" t="s">
        <v>93</v>
      </c>
      <c r="J16" s="34"/>
      <c r="K16" s="34"/>
      <c r="L16" s="34"/>
      <c r="M16" s="35"/>
      <c r="N16" s="35"/>
      <c r="O16" s="17"/>
    </row>
    <row r="17" spans="1:15" ht="18" customHeight="1">
      <c r="A17" s="33" t="s">
        <v>94</v>
      </c>
      <c r="B17" s="16"/>
      <c r="C17" s="16"/>
      <c r="D17" s="16"/>
      <c r="E17" s="35"/>
      <c r="F17" s="74"/>
      <c r="G17" s="74"/>
      <c r="H17" s="17"/>
      <c r="I17" s="34" t="s">
        <v>94</v>
      </c>
      <c r="J17" s="16"/>
      <c r="K17" s="16"/>
      <c r="L17" s="16"/>
      <c r="M17" s="35"/>
      <c r="N17" s="35"/>
      <c r="O17" s="17"/>
    </row>
    <row r="18" spans="1:15" ht="18" customHeight="1">
      <c r="A18" s="33" t="s">
        <v>95</v>
      </c>
      <c r="B18" s="16"/>
      <c r="C18" s="16"/>
      <c r="D18" s="16"/>
      <c r="E18" s="35"/>
      <c r="F18" s="74"/>
      <c r="G18" s="74"/>
      <c r="H18" s="17"/>
      <c r="I18" s="34" t="s">
        <v>95</v>
      </c>
      <c r="J18" s="16"/>
      <c r="K18" s="16"/>
      <c r="L18" s="16"/>
      <c r="M18" s="35"/>
      <c r="N18" s="35"/>
      <c r="O18" s="17"/>
    </row>
    <row r="19" spans="1:15" ht="18" customHeight="1">
      <c r="A19" s="33" t="s">
        <v>96</v>
      </c>
      <c r="B19" s="16"/>
      <c r="C19" s="16"/>
      <c r="D19" s="16"/>
      <c r="E19" s="35"/>
      <c r="F19" s="74"/>
      <c r="G19" s="74"/>
      <c r="H19" s="17"/>
      <c r="I19" s="34" t="s">
        <v>96</v>
      </c>
      <c r="J19" s="16"/>
      <c r="K19" s="16"/>
      <c r="L19" s="16"/>
      <c r="M19" s="35"/>
      <c r="N19" s="35"/>
      <c r="O19" s="17"/>
    </row>
    <row r="20" spans="1:15" ht="18" customHeight="1">
      <c r="A20" s="33" t="s">
        <v>97</v>
      </c>
      <c r="B20" s="16"/>
      <c r="C20" s="16"/>
      <c r="D20" s="16"/>
      <c r="E20" s="35"/>
      <c r="F20" s="74"/>
      <c r="G20" s="74"/>
      <c r="H20" s="17"/>
      <c r="I20" s="34" t="s">
        <v>97</v>
      </c>
      <c r="J20" s="16"/>
      <c r="K20" s="16"/>
      <c r="L20" s="16"/>
      <c r="M20" s="35"/>
      <c r="N20" s="35"/>
      <c r="O20" s="17"/>
    </row>
    <row r="21" spans="1:15">
      <c r="A21" s="33" t="s">
        <v>98</v>
      </c>
      <c r="B21" s="16"/>
      <c r="C21" s="16"/>
      <c r="D21" s="16"/>
      <c r="E21" s="35"/>
      <c r="F21" s="74"/>
      <c r="G21" s="74"/>
      <c r="H21" s="17"/>
      <c r="I21" s="34" t="s">
        <v>98</v>
      </c>
      <c r="J21" s="16"/>
      <c r="K21" s="16"/>
      <c r="L21" s="16"/>
      <c r="M21" s="35"/>
      <c r="N21" s="35"/>
      <c r="O21" s="17"/>
    </row>
    <row r="22" spans="1:15" ht="24">
      <c r="A22" s="37"/>
      <c r="B22" s="16"/>
      <c r="C22" s="16"/>
      <c r="D22" s="16"/>
      <c r="E22" s="38"/>
      <c r="F22" s="75"/>
      <c r="G22" s="75"/>
      <c r="H22" s="40"/>
      <c r="I22" s="41"/>
      <c r="J22" s="16"/>
      <c r="K22" s="16"/>
      <c r="L22" s="16"/>
      <c r="M22" s="38"/>
      <c r="N22" s="39"/>
      <c r="O22" s="42"/>
    </row>
    <row r="23" spans="1:15" ht="22.5" thickBot="1">
      <c r="A23" s="43"/>
      <c r="B23" s="16"/>
      <c r="C23" s="16"/>
      <c r="D23" s="11" t="s">
        <v>99</v>
      </c>
      <c r="E23" s="44"/>
      <c r="F23" s="76">
        <f>SUM(F11:F22)</f>
        <v>171500</v>
      </c>
      <c r="G23" s="76">
        <f>SUM(G11:G22)</f>
        <v>24339</v>
      </c>
      <c r="H23" s="40"/>
      <c r="I23" s="45"/>
      <c r="J23" s="16"/>
      <c r="K23" s="16"/>
      <c r="L23" s="11" t="s">
        <v>99</v>
      </c>
      <c r="M23" s="44"/>
      <c r="N23" s="71">
        <f>SUM(N11:N22)</f>
        <v>171500</v>
      </c>
      <c r="O23" s="72">
        <f>SUM(O11:O22)</f>
        <v>24339</v>
      </c>
    </row>
    <row r="24" spans="1:15" ht="11.25" customHeight="1" thickTop="1">
      <c r="A24" s="35"/>
      <c r="B24" s="16"/>
      <c r="C24" s="16"/>
      <c r="D24" s="16"/>
      <c r="E24" s="16"/>
      <c r="F24" s="16"/>
      <c r="G24" s="46"/>
      <c r="H24" s="17"/>
      <c r="I24" s="16"/>
      <c r="J24" s="16"/>
      <c r="K24" s="16"/>
      <c r="L24" s="16"/>
      <c r="M24" s="16"/>
      <c r="N24" s="16"/>
      <c r="O24" s="47"/>
    </row>
    <row r="25" spans="1:15">
      <c r="A25" s="33" t="s">
        <v>100</v>
      </c>
      <c r="B25" s="16"/>
      <c r="C25" s="16"/>
      <c r="D25" s="745" t="str">
        <f>+"***"&amp;BAHTTEXT(G23)&amp;"***"</f>
        <v>***สองหมื่นสี่พันสามร้อยสามสิบเก้าบาทถ้วน***</v>
      </c>
      <c r="E25" s="746"/>
      <c r="F25" s="746"/>
      <c r="G25" s="747"/>
      <c r="H25" s="48"/>
      <c r="I25" s="34" t="s">
        <v>100</v>
      </c>
      <c r="J25" s="16"/>
      <c r="K25" s="16"/>
      <c r="L25" s="745" t="str">
        <f>+"***"&amp;BAHTTEXT(O23)&amp;"***"</f>
        <v>***สองหมื่นสี่พันสามร้อยสามสิบเก้าบาทถ้วน***</v>
      </c>
      <c r="M25" s="746"/>
      <c r="N25" s="746"/>
      <c r="O25" s="747"/>
    </row>
    <row r="26" spans="1:15" ht="9.9499999999999993" customHeight="1">
      <c r="A26" s="35"/>
      <c r="B26" s="16"/>
      <c r="C26" s="16"/>
      <c r="D26" s="16"/>
      <c r="E26" s="16"/>
      <c r="F26" s="16"/>
      <c r="G26" s="8"/>
      <c r="H26" s="17"/>
      <c r="I26" s="16"/>
      <c r="J26" s="16"/>
      <c r="K26" s="16"/>
      <c r="L26" s="16"/>
      <c r="M26" s="16"/>
      <c r="N26" s="16"/>
      <c r="O26" s="19"/>
    </row>
    <row r="27" spans="1:15">
      <c r="A27" s="33" t="s">
        <v>101</v>
      </c>
      <c r="B27" s="16"/>
      <c r="C27" s="16"/>
      <c r="D27" s="16"/>
      <c r="E27" s="16"/>
      <c r="F27" s="16"/>
      <c r="G27" s="49" t="s">
        <v>102</v>
      </c>
      <c r="H27" s="50"/>
      <c r="I27" s="34" t="s">
        <v>101</v>
      </c>
      <c r="J27" s="16"/>
      <c r="K27" s="16"/>
      <c r="L27" s="16"/>
      <c r="M27" s="16"/>
      <c r="N27" s="51"/>
      <c r="O27" s="52" t="s">
        <v>102</v>
      </c>
    </row>
    <row r="28" spans="1:15" ht="18.75" customHeight="1">
      <c r="A28" s="33"/>
      <c r="B28" s="16"/>
      <c r="C28" s="16"/>
      <c r="D28" s="16"/>
      <c r="F28" s="49" t="s">
        <v>103</v>
      </c>
      <c r="G28" s="49" t="s">
        <v>104</v>
      </c>
      <c r="H28" s="50"/>
      <c r="I28" s="34"/>
      <c r="J28" s="16"/>
      <c r="K28" s="16"/>
      <c r="L28" s="16"/>
      <c r="N28" s="49" t="s">
        <v>103</v>
      </c>
      <c r="O28" s="52" t="s">
        <v>104</v>
      </c>
    </row>
    <row r="29" spans="1:15">
      <c r="A29" s="33" t="str">
        <f>"1.  เงินสมทบเข้ากองทุนประกันสังคม  จำนวนเงิน                   "&amp;TEXT(CompanyProfile!P88,"#,##0.00")&amp;"               บาท"</f>
        <v>1.  เงินสมทบเข้ากองทุนประกันสังคม  จำนวนเงิน                   600.00               บาท</v>
      </c>
      <c r="B29" s="16"/>
      <c r="C29" s="16"/>
      <c r="D29" s="16"/>
      <c r="F29" s="62">
        <f>CompanyProfile!C6</f>
        <v>1234567890</v>
      </c>
      <c r="G29" s="63" t="e">
        <f>VALUE(VLOOKUP(CompanyProfile!$B$88,Employee!$A:$I,6,FALSE))</f>
        <v>#N/A</v>
      </c>
      <c r="H29" s="17"/>
      <c r="I29" s="34" t="str">
        <f>A29</f>
        <v>1.  เงินสมทบเข้ากองทุนประกันสังคม  จำนวนเงิน                   600.00               บาท</v>
      </c>
      <c r="J29" s="16"/>
      <c r="K29" s="16"/>
      <c r="L29" s="16"/>
      <c r="N29" s="62">
        <f>F29</f>
        <v>1234567890</v>
      </c>
      <c r="O29" s="64" t="e">
        <f>G29</f>
        <v>#N/A</v>
      </c>
    </row>
    <row r="30" spans="1:15">
      <c r="A30" s="33" t="s">
        <v>116</v>
      </c>
      <c r="B30" s="16"/>
      <c r="C30" s="16"/>
      <c r="D30" s="16"/>
      <c r="E30" s="34" t="str">
        <f>"จำนวนเงิน             " &amp;TEXT(CompanyProfile!Q88,"#,##0.00")&amp;"               บาท"</f>
        <v>จำนวนเงิน             0.00               บาท</v>
      </c>
      <c r="F30" s="16"/>
      <c r="G30" s="8"/>
      <c r="H30" s="17"/>
      <c r="I30" s="33" t="str">
        <f>A30</f>
        <v>2.  เงินสะสมจ่ายเข้ากองทุนสำรองเลี้ยงชีพ ใบอนุญาตเลขที่             -------</v>
      </c>
      <c r="J30" s="16"/>
      <c r="K30" s="16"/>
      <c r="L30" s="16"/>
      <c r="M30" s="34" t="str">
        <f>E30</f>
        <v>จำนวนเงิน             0.00               บาท</v>
      </c>
      <c r="N30" s="16"/>
      <c r="O30" s="19"/>
    </row>
    <row r="31" spans="1:15" ht="9.9499999999999993" customHeight="1">
      <c r="A31" s="35"/>
      <c r="B31" s="16"/>
      <c r="C31" s="16"/>
      <c r="D31" s="16"/>
      <c r="E31" s="16"/>
      <c r="F31" s="16"/>
      <c r="G31" s="8"/>
      <c r="H31" s="17"/>
      <c r="I31" s="16"/>
      <c r="J31" s="16"/>
      <c r="K31" s="16"/>
      <c r="L31" s="16"/>
      <c r="M31" s="16"/>
      <c r="N31" s="16"/>
      <c r="O31" s="19"/>
    </row>
    <row r="32" spans="1:15">
      <c r="A32" s="9" t="s">
        <v>105</v>
      </c>
      <c r="B32" s="10"/>
      <c r="C32" s="53"/>
      <c r="D32" s="16"/>
      <c r="E32" s="16"/>
      <c r="F32" s="16"/>
      <c r="G32" s="8"/>
      <c r="H32" s="17"/>
      <c r="I32" s="9" t="s">
        <v>105</v>
      </c>
      <c r="J32" s="10"/>
      <c r="K32" s="53"/>
      <c r="L32" s="16"/>
      <c r="M32" s="16"/>
      <c r="N32" s="16"/>
      <c r="O32" s="19"/>
    </row>
    <row r="33" spans="1:15">
      <c r="A33" s="669" t="s">
        <v>458</v>
      </c>
      <c r="B33" s="51" t="s">
        <v>106</v>
      </c>
      <c r="C33" s="54"/>
      <c r="D33" s="36" t="s">
        <v>107</v>
      </c>
      <c r="E33" s="18"/>
      <c r="F33" s="18"/>
      <c r="G33" s="18"/>
      <c r="H33" s="55"/>
      <c r="I33" s="669" t="s">
        <v>458</v>
      </c>
      <c r="J33" s="51" t="s">
        <v>106</v>
      </c>
      <c r="K33" s="54"/>
      <c r="L33" s="36" t="s">
        <v>107</v>
      </c>
      <c r="M33" s="18"/>
      <c r="N33" s="18"/>
      <c r="O33" s="56"/>
    </row>
    <row r="34" spans="1:15">
      <c r="A34" s="669" t="s">
        <v>459</v>
      </c>
      <c r="B34" s="51" t="s">
        <v>108</v>
      </c>
      <c r="C34" s="54"/>
      <c r="D34" s="16"/>
      <c r="E34" s="16"/>
      <c r="F34" s="16"/>
      <c r="G34" s="8"/>
      <c r="H34" s="17"/>
      <c r="I34" s="669" t="s">
        <v>459</v>
      </c>
      <c r="J34" s="51" t="s">
        <v>108</v>
      </c>
      <c r="K34" s="54"/>
      <c r="L34" s="16"/>
      <c r="M34" s="16"/>
      <c r="N34" s="16"/>
      <c r="O34" s="19"/>
    </row>
    <row r="35" spans="1:15">
      <c r="A35" s="669" t="s">
        <v>459</v>
      </c>
      <c r="B35" s="51" t="s">
        <v>109</v>
      </c>
      <c r="C35" s="54"/>
      <c r="D35" s="18" t="s">
        <v>110</v>
      </c>
      <c r="E35" s="16"/>
      <c r="F35" s="16"/>
      <c r="G35" s="8"/>
      <c r="H35" s="17"/>
      <c r="I35" s="669" t="s">
        <v>459</v>
      </c>
      <c r="J35" s="51" t="s">
        <v>109</v>
      </c>
      <c r="K35" s="54"/>
      <c r="L35" s="8" t="s">
        <v>191</v>
      </c>
      <c r="M35" s="16"/>
      <c r="N35" s="16"/>
      <c r="O35" s="19"/>
    </row>
    <row r="36" spans="1:15">
      <c r="A36" s="670" t="s">
        <v>459</v>
      </c>
      <c r="B36" s="57" t="s">
        <v>111</v>
      </c>
      <c r="C36" s="58"/>
      <c r="D36" s="28"/>
      <c r="E36" s="59">
        <f>CompanyProfile!$C$10</f>
        <v>41675</v>
      </c>
      <c r="F36" s="28" t="s">
        <v>112</v>
      </c>
      <c r="G36" s="22"/>
      <c r="H36" s="17"/>
      <c r="I36" s="670" t="s">
        <v>459</v>
      </c>
      <c r="J36" s="57" t="s">
        <v>111</v>
      </c>
      <c r="K36" s="58"/>
      <c r="L36" s="28"/>
      <c r="M36" s="59">
        <f>E36</f>
        <v>41675</v>
      </c>
      <c r="N36" s="28" t="s">
        <v>112</v>
      </c>
      <c r="O36" s="24"/>
    </row>
    <row r="37" spans="1:15">
      <c r="B37" s="60" t="s">
        <v>113</v>
      </c>
      <c r="J37" s="60" t="s">
        <v>113</v>
      </c>
    </row>
  </sheetData>
  <mergeCells count="10">
    <mergeCell ref="D25:G25"/>
    <mergeCell ref="L25:O25"/>
    <mergeCell ref="E3:F3"/>
    <mergeCell ref="E6:F6"/>
    <mergeCell ref="A10:D10"/>
    <mergeCell ref="M3:N3"/>
    <mergeCell ref="M6:N6"/>
    <mergeCell ref="I10:L10"/>
    <mergeCell ref="E7:F7"/>
    <mergeCell ref="M7:N7"/>
  </mergeCells>
  <phoneticPr fontId="27" type="noConversion"/>
  <printOptions horizontalCentered="1" verticalCentered="1"/>
  <pageMargins left="0.35433070866141736" right="0.35433070866141736" top="0.39370078740157483" bottom="0.39370078740157483" header="0.51181102362204722" footer="0.51181102362204722"/>
  <pageSetup paperSize="9" scale="72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53"/>
    <pageSetUpPr fitToPage="1"/>
  </sheetPr>
  <dimension ref="A1:I51"/>
  <sheetViews>
    <sheetView showGridLines="0" topLeftCell="A16" workbookViewId="0">
      <selection activeCell="F22" sqref="F22:F23"/>
    </sheetView>
  </sheetViews>
  <sheetFormatPr defaultRowHeight="11.25"/>
  <cols>
    <col min="1" max="3" width="15.7109375" style="1" customWidth="1"/>
    <col min="4" max="4" width="16.5703125" style="1" customWidth="1"/>
    <col min="5" max="5" width="19.28515625" style="1" customWidth="1"/>
    <col min="6" max="6" width="19.5703125" style="1" customWidth="1"/>
    <col min="7" max="23" width="9.140625" style="1"/>
    <col min="24" max="24" width="11.7109375" style="1" customWidth="1"/>
    <col min="25" max="16384" width="9.140625" style="1"/>
  </cols>
  <sheetData>
    <row r="1" spans="1:9" ht="15.75" customHeight="1">
      <c r="F1" s="84" t="s">
        <v>515</v>
      </c>
    </row>
    <row r="2" spans="1:9" ht="21.75" customHeight="1">
      <c r="E2" s="107" t="s">
        <v>59</v>
      </c>
      <c r="F2" s="85"/>
      <c r="H2" s="86"/>
      <c r="I2" s="86"/>
    </row>
    <row r="3" spans="1:9" ht="18" customHeight="1">
      <c r="B3" s="461" t="str">
        <f>CompanyProfile!C2</f>
        <v>หจก.ศิวะกรเซฟตี้ จำกัด</v>
      </c>
      <c r="E3" s="108" t="str">
        <f>"เดือน/ปี MONTH/YEAR :  "</f>
        <v xml:space="preserve">เดือน/ปี MONTH/YEAR :  </v>
      </c>
      <c r="F3" s="352">
        <f>TempData!$T$2</f>
        <v>41654</v>
      </c>
    </row>
    <row r="4" spans="1:9" ht="18" customHeight="1">
      <c r="E4" s="109" t="s">
        <v>215</v>
      </c>
      <c r="F4" s="353" t="e">
        <f>VLOOKUP(CompanyProfile!$B$88,Employee!$A:$I,1,FALSE)</f>
        <v>#N/A</v>
      </c>
    </row>
    <row r="5" spans="1:9" ht="18" customHeight="1">
      <c r="A5" s="88" t="s">
        <v>365</v>
      </c>
      <c r="B5" s="111" t="e">
        <f>VLOOKUP(CompanyProfile!$B$88,Employee!$A:$I,2,FALSE)&amp;VLOOKUP(CompanyProfile!$B$88,Employee!$A:$I,3,FALSE)&amp;"  "&amp;VLOOKUP(CompanyProfile!$B$88,Employee!$A:$I,4,FALSE)</f>
        <v>#N/A</v>
      </c>
      <c r="E5" s="110" t="s">
        <v>216</v>
      </c>
      <c r="F5" s="354" t="e">
        <f>VLOOKUP(CompanyProfile!$B$88,Employee!$A:$I,9,FALSE)</f>
        <v>#N/A</v>
      </c>
    </row>
    <row r="6" spans="1:9" ht="6.75" customHeight="1"/>
    <row r="7" spans="1:9" ht="18" customHeight="1">
      <c r="A7" s="87"/>
      <c r="B7" s="211" t="str">
        <f>SheetData!F5</f>
        <v>เงินเดือน</v>
      </c>
      <c r="C7" s="211" t="str">
        <f>SheetData!G5</f>
        <v>ค่าล่วงเวลา</v>
      </c>
      <c r="D7" s="211" t="str">
        <f>SheetData!H5</f>
        <v>ค่าเช่าบ้าน</v>
      </c>
      <c r="E7" s="211" t="str">
        <f>SheetData!I5</f>
        <v>ค่าน้ำมัน</v>
      </c>
      <c r="F7" s="91" t="s">
        <v>60</v>
      </c>
    </row>
    <row r="8" spans="1:9" ht="12.75" customHeight="1">
      <c r="A8" s="89"/>
      <c r="B8" s="558" t="s">
        <v>61</v>
      </c>
      <c r="C8" s="558" t="s">
        <v>62</v>
      </c>
      <c r="D8" s="558" t="s">
        <v>323</v>
      </c>
      <c r="E8" s="558" t="s">
        <v>446</v>
      </c>
      <c r="F8" s="93" t="s">
        <v>63</v>
      </c>
    </row>
    <row r="9" spans="1:9" ht="18" customHeight="1">
      <c r="A9" s="89"/>
      <c r="B9" s="112">
        <f>CompanyProfile!F88</f>
        <v>150000</v>
      </c>
      <c r="C9" s="112">
        <f>CompanyProfile!G88</f>
        <v>1500</v>
      </c>
      <c r="D9" s="112">
        <f>CompanyProfile!H88</f>
        <v>2500</v>
      </c>
      <c r="E9" s="112">
        <f>CompanyProfile!I88</f>
        <v>1500</v>
      </c>
      <c r="F9" s="755">
        <f>SUM(B9:E9,B12:E12)</f>
        <v>171500</v>
      </c>
    </row>
    <row r="10" spans="1:9" ht="18" customHeight="1">
      <c r="A10" s="89"/>
      <c r="B10" s="463" t="str">
        <f>SheetData!J5</f>
        <v>ค่าเบี้ยเลี้ยง</v>
      </c>
      <c r="C10" s="463" t="str">
        <f>SheetData!K5</f>
        <v>ค่าครองชีพ</v>
      </c>
      <c r="D10" s="463" t="str">
        <f>SheetData!L5</f>
        <v>โบนัส</v>
      </c>
      <c r="E10" s="211" t="str">
        <f>SheetData!M5</f>
        <v>อื่น ๆ</v>
      </c>
      <c r="F10" s="753"/>
    </row>
    <row r="11" spans="1:9" ht="12.75" customHeight="1">
      <c r="A11" s="89"/>
      <c r="B11" s="558" t="s">
        <v>368</v>
      </c>
      <c r="C11" s="558" t="s">
        <v>456</v>
      </c>
      <c r="D11" s="558" t="s">
        <v>227</v>
      </c>
      <c r="E11" s="558" t="s">
        <v>170</v>
      </c>
      <c r="F11" s="95"/>
    </row>
    <row r="12" spans="1:9" ht="15.75" customHeight="1">
      <c r="A12" s="89"/>
      <c r="B12" s="112">
        <f>CompanyProfile!J88</f>
        <v>2500</v>
      </c>
      <c r="C12" s="112">
        <f>CompanyProfile!K88</f>
        <v>3500</v>
      </c>
      <c r="D12" s="112">
        <f>CompanyProfile!L88</f>
        <v>4500</v>
      </c>
      <c r="E12" s="112">
        <f>CompanyProfile!M88</f>
        <v>5500</v>
      </c>
      <c r="F12" s="79"/>
    </row>
    <row r="13" spans="1:9" ht="18" customHeight="1">
      <c r="A13" s="87"/>
      <c r="B13" s="91" t="s">
        <v>181</v>
      </c>
      <c r="C13" s="92" t="s">
        <v>64</v>
      </c>
      <c r="D13" s="91" t="s">
        <v>182</v>
      </c>
      <c r="E13" s="92" t="s">
        <v>55</v>
      </c>
      <c r="F13" s="91" t="s">
        <v>65</v>
      </c>
    </row>
    <row r="14" spans="1:9" ht="12.75" customHeight="1">
      <c r="A14" s="89"/>
      <c r="B14" s="93" t="s">
        <v>228</v>
      </c>
      <c r="C14" s="94" t="s">
        <v>190</v>
      </c>
      <c r="D14" s="93" t="s">
        <v>201</v>
      </c>
      <c r="E14" s="94" t="s">
        <v>169</v>
      </c>
      <c r="F14" s="93" t="s">
        <v>66</v>
      </c>
    </row>
    <row r="15" spans="1:9" ht="18" customHeight="1">
      <c r="A15" s="89"/>
      <c r="B15" s="112">
        <f>CompanyProfile!O88</f>
        <v>24339</v>
      </c>
      <c r="C15" s="112">
        <f>CompanyProfile!P88</f>
        <v>600</v>
      </c>
      <c r="D15" s="112">
        <f>CompanyProfile!Q88</f>
        <v>0</v>
      </c>
      <c r="E15" s="112">
        <f>CompanyProfile!R88</f>
        <v>0</v>
      </c>
      <c r="F15" s="755">
        <f>SUM(B15:E15,B18:E18)</f>
        <v>24939</v>
      </c>
    </row>
    <row r="16" spans="1:9" ht="18" customHeight="1">
      <c r="A16" s="89"/>
      <c r="B16" s="96"/>
      <c r="C16" s="97"/>
      <c r="D16" s="96"/>
      <c r="E16" s="98"/>
      <c r="F16" s="753"/>
    </row>
    <row r="17" spans="1:9" ht="12.75" customHeight="1">
      <c r="A17" s="89"/>
      <c r="B17" s="99"/>
      <c r="C17" s="100"/>
      <c r="D17" s="99"/>
      <c r="E17" s="101"/>
      <c r="F17" s="102"/>
    </row>
    <row r="18" spans="1:9" ht="14.25" customHeight="1">
      <c r="A18" s="90"/>
      <c r="B18" s="79"/>
      <c r="C18" s="103"/>
      <c r="D18" s="79"/>
      <c r="E18" s="103"/>
      <c r="F18" s="79"/>
    </row>
    <row r="19" spans="1:9" ht="6.75" customHeight="1">
      <c r="A19" s="104"/>
      <c r="B19" s="104"/>
      <c r="C19" s="104"/>
      <c r="D19" s="104"/>
      <c r="E19" s="104"/>
      <c r="F19" s="104"/>
    </row>
    <row r="20" spans="1:9">
      <c r="A20" s="91" t="s">
        <v>67</v>
      </c>
      <c r="B20" s="105" t="s">
        <v>68</v>
      </c>
      <c r="C20" s="105" t="s">
        <v>419</v>
      </c>
      <c r="D20" s="88"/>
      <c r="E20" s="88"/>
      <c r="F20" s="91" t="s">
        <v>70</v>
      </c>
    </row>
    <row r="21" spans="1:9" ht="12.75" customHeight="1">
      <c r="A21" s="93" t="s">
        <v>189</v>
      </c>
      <c r="B21" s="106" t="s">
        <v>71</v>
      </c>
      <c r="C21" s="106" t="s">
        <v>420</v>
      </c>
      <c r="D21" s="508" t="s">
        <v>320</v>
      </c>
      <c r="E21" s="349" t="e">
        <f>VLOOKUP(CompanyProfile!$B$88,Employee!$A:$I,6,FALSE)</f>
        <v>#N/A</v>
      </c>
      <c r="F21" s="106" t="s">
        <v>72</v>
      </c>
    </row>
    <row r="22" spans="1:9">
      <c r="A22" s="78"/>
      <c r="B22" s="78"/>
      <c r="C22" s="78"/>
      <c r="D22" s="508" t="s">
        <v>212</v>
      </c>
      <c r="E22" s="350" t="e">
        <f>VLOOKUP(CompanyProfile!$B$88,Employee!$A:$I,7,FALSE)</f>
        <v>#N/A</v>
      </c>
      <c r="F22" s="753">
        <f>F9-F15</f>
        <v>146561</v>
      </c>
    </row>
    <row r="23" spans="1:9">
      <c r="A23" s="99">
        <f>CompanyProfile!V88</f>
        <v>513812.5</v>
      </c>
      <c r="B23" s="99">
        <f>CompanyProfile!W88</f>
        <v>87513</v>
      </c>
      <c r="C23" s="99">
        <f>CompanyProfile!X88</f>
        <v>1500</v>
      </c>
      <c r="D23" s="508" t="s">
        <v>213</v>
      </c>
      <c r="E23" s="351" t="e">
        <f>VLOOKUP(CompanyProfile!$B$88,Employee!$A:$I,8,FALSE)</f>
        <v>#N/A</v>
      </c>
      <c r="F23" s="754"/>
    </row>
    <row r="24" spans="1:9">
      <c r="A24" s="104"/>
      <c r="B24" s="104"/>
      <c r="C24" s="104"/>
      <c r="D24" s="104"/>
      <c r="F24" s="104"/>
    </row>
    <row r="25" spans="1:9">
      <c r="A25" s="104"/>
      <c r="B25" s="104"/>
      <c r="C25" s="104"/>
      <c r="D25" s="104"/>
      <c r="F25" s="104"/>
    </row>
    <row r="26" spans="1:9" ht="48.75" customHeight="1">
      <c r="A26" s="104"/>
      <c r="B26" s="104"/>
      <c r="C26" s="104"/>
      <c r="D26" s="104"/>
      <c r="F26" s="104"/>
    </row>
    <row r="27" spans="1:9">
      <c r="A27" s="461"/>
    </row>
    <row r="28" spans="1:9" ht="15.75" customHeight="1">
      <c r="F28" s="84" t="s">
        <v>515</v>
      </c>
    </row>
    <row r="29" spans="1:9" ht="21.75" customHeight="1">
      <c r="B29" s="83"/>
      <c r="E29" s="107" t="s">
        <v>59</v>
      </c>
      <c r="F29" s="85"/>
      <c r="H29" s="86"/>
      <c r="I29" s="86"/>
    </row>
    <row r="30" spans="1:9" ht="18" customHeight="1">
      <c r="B30" s="461" t="str">
        <f>CompanyProfile!C2</f>
        <v>หจก.ศิวะกรเซฟตี้ จำกัด</v>
      </c>
      <c r="E30" s="108" t="str">
        <f>"เดือน/ปี MONTH/YEAR :  "</f>
        <v xml:space="preserve">เดือน/ปี MONTH/YEAR :  </v>
      </c>
      <c r="F30" s="502">
        <f>TempData!$T$2</f>
        <v>41654</v>
      </c>
    </row>
    <row r="31" spans="1:9" ht="18" customHeight="1">
      <c r="E31" s="109" t="s">
        <v>74</v>
      </c>
      <c r="F31" s="503" t="e">
        <f>VLOOKUP(CompanyProfile!$B$89,Employee!$A:$I,1,FALSE)</f>
        <v>#N/A</v>
      </c>
    </row>
    <row r="32" spans="1:9" ht="18" customHeight="1">
      <c r="A32" s="88" t="str">
        <f>A5</f>
        <v>ชื่อ/NAME</v>
      </c>
      <c r="B32" s="111" t="e">
        <f>VLOOKUP(CompanyProfile!$B$89,Employee!$A:$I,2,FALSE)&amp;VLOOKUP(CompanyProfile!$B$89,Employee!$A:$I,3,FALSE)&amp;"  "&amp;VLOOKUP(CompanyProfile!$B$89,Employee!$A:$I,4,FALSE)</f>
        <v>#N/A</v>
      </c>
      <c r="E32" s="110" t="s">
        <v>216</v>
      </c>
      <c r="F32" s="504" t="e">
        <f>VLOOKUP(CompanyProfile!$B$89,Employee!$A:$I,9,FALSE)</f>
        <v>#N/A</v>
      </c>
    </row>
    <row r="33" spans="1:6" ht="6.75" customHeight="1"/>
    <row r="34" spans="1:6" ht="18" customHeight="1">
      <c r="A34" s="87"/>
      <c r="B34" s="91" t="str">
        <f t="shared" ref="B34:D35" si="0">B7</f>
        <v>เงินเดือน</v>
      </c>
      <c r="C34" s="92" t="str">
        <f t="shared" si="0"/>
        <v>ค่าล่วงเวลา</v>
      </c>
      <c r="D34" s="91" t="str">
        <f t="shared" si="0"/>
        <v>ค่าเช่าบ้าน</v>
      </c>
      <c r="E34" s="91" t="str">
        <f>E7</f>
        <v>ค่าน้ำมัน</v>
      </c>
      <c r="F34" s="91" t="s">
        <v>60</v>
      </c>
    </row>
    <row r="35" spans="1:6" ht="12.75" customHeight="1">
      <c r="A35" s="89"/>
      <c r="B35" s="93" t="str">
        <f t="shared" si="0"/>
        <v>SALARY / WAGE</v>
      </c>
      <c r="C35" s="94" t="str">
        <f t="shared" si="0"/>
        <v>OVERTIME</v>
      </c>
      <c r="D35" s="93" t="str">
        <f t="shared" si="0"/>
        <v>RENTAL</v>
      </c>
      <c r="E35" s="93" t="str">
        <f>E8</f>
        <v>Fuel</v>
      </c>
      <c r="F35" s="93" t="s">
        <v>63</v>
      </c>
    </row>
    <row r="36" spans="1:6" ht="18" customHeight="1">
      <c r="A36" s="89"/>
      <c r="B36" s="112">
        <f>CompanyProfile!F89</f>
        <v>85000</v>
      </c>
      <c r="C36" s="112">
        <f>CompanyProfile!G89</f>
        <v>1000</v>
      </c>
      <c r="D36" s="112">
        <f>CompanyProfile!H89</f>
        <v>2000</v>
      </c>
      <c r="E36" s="112">
        <f>CompanyProfile!I89</f>
        <v>3000</v>
      </c>
      <c r="F36" s="755">
        <f>SUM(B36:E36,B39:E39)</f>
        <v>113000</v>
      </c>
    </row>
    <row r="37" spans="1:6" ht="18" customHeight="1">
      <c r="A37" s="89"/>
      <c r="B37" s="91" t="str">
        <f t="shared" ref="B37:E38" si="1">B10</f>
        <v>ค่าเบี้ยเลี้ยง</v>
      </c>
      <c r="C37" s="92" t="str">
        <f t="shared" si="1"/>
        <v>ค่าครองชีพ</v>
      </c>
      <c r="D37" s="91" t="str">
        <f t="shared" si="1"/>
        <v>โบนัส</v>
      </c>
      <c r="E37" s="91" t="str">
        <f t="shared" si="1"/>
        <v>อื่น ๆ</v>
      </c>
      <c r="F37" s="753"/>
    </row>
    <row r="38" spans="1:6" ht="12.75" customHeight="1">
      <c r="A38" s="89"/>
      <c r="B38" s="93" t="str">
        <f t="shared" si="1"/>
        <v>TRAVEL/PERDIAM</v>
      </c>
      <c r="C38" s="94" t="str">
        <f t="shared" si="1"/>
        <v>SPECIAL ALLOWANCE</v>
      </c>
      <c r="D38" s="93" t="str">
        <f t="shared" si="1"/>
        <v>BONUS</v>
      </c>
      <c r="E38" s="93" t="str">
        <f t="shared" si="1"/>
        <v>OTHER INCOME</v>
      </c>
      <c r="F38" s="95"/>
    </row>
    <row r="39" spans="1:6" ht="15.75" customHeight="1">
      <c r="A39" s="89"/>
      <c r="B39" s="112">
        <f>CompanyProfile!J89</f>
        <v>4000</v>
      </c>
      <c r="C39" s="112">
        <f>CompanyProfile!K89</f>
        <v>5000</v>
      </c>
      <c r="D39" s="112">
        <f>CompanyProfile!L89</f>
        <v>6000</v>
      </c>
      <c r="E39" s="112">
        <f>CompanyProfile!M89</f>
        <v>7000</v>
      </c>
      <c r="F39" s="79"/>
    </row>
    <row r="40" spans="1:6" ht="18" customHeight="1">
      <c r="A40" s="87"/>
      <c r="B40" s="91" t="str">
        <f t="shared" ref="B40:E41" si="2">B13</f>
        <v>ภาษีหัก ณ ที่จ่าย</v>
      </c>
      <c r="C40" s="92" t="str">
        <f t="shared" si="2"/>
        <v>เงินประกันสังคม</v>
      </c>
      <c r="D40" s="91" t="str">
        <f t="shared" si="2"/>
        <v>เงินสำรองเลี้ยงชีพ</v>
      </c>
      <c r="E40" s="92" t="str">
        <f t="shared" si="2"/>
        <v>อื่น ๆ</v>
      </c>
      <c r="F40" s="91" t="s">
        <v>65</v>
      </c>
    </row>
    <row r="41" spans="1:6" ht="12.75" customHeight="1">
      <c r="A41" s="89"/>
      <c r="B41" s="93" t="str">
        <f t="shared" si="2"/>
        <v xml:space="preserve"> INCOME TAX</v>
      </c>
      <c r="C41" s="94" t="str">
        <f t="shared" si="2"/>
        <v>SOCIAL SEC FUND</v>
      </c>
      <c r="D41" s="93" t="str">
        <f t="shared" si="2"/>
        <v>PROVIDENT FUND</v>
      </c>
      <c r="E41" s="94" t="str">
        <f t="shared" si="2"/>
        <v>OTHER</v>
      </c>
      <c r="F41" s="93" t="s">
        <v>66</v>
      </c>
    </row>
    <row r="42" spans="1:6" ht="18" customHeight="1">
      <c r="A42" s="89"/>
      <c r="B42" s="112">
        <f>CompanyProfile!O89</f>
        <v>11072</v>
      </c>
      <c r="C42" s="112">
        <f>CompanyProfile!P89</f>
        <v>600</v>
      </c>
      <c r="D42" s="112">
        <f>CompanyProfile!Q89</f>
        <v>0</v>
      </c>
      <c r="E42" s="112">
        <f>CompanyProfile!R89</f>
        <v>0</v>
      </c>
      <c r="F42" s="755">
        <f>SUM(B42:E42,B45:E45)</f>
        <v>11672</v>
      </c>
    </row>
    <row r="43" spans="1:6" ht="18" customHeight="1">
      <c r="A43" s="89"/>
      <c r="B43" s="96"/>
      <c r="C43" s="97"/>
      <c r="D43" s="96"/>
      <c r="E43" s="98"/>
      <c r="F43" s="753"/>
    </row>
    <row r="44" spans="1:6" ht="12.75" customHeight="1">
      <c r="A44" s="89"/>
      <c r="B44" s="99"/>
      <c r="C44" s="100"/>
      <c r="D44" s="99"/>
      <c r="E44" s="101"/>
      <c r="F44" s="102"/>
    </row>
    <row r="45" spans="1:6" ht="14.25" customHeight="1">
      <c r="A45" s="90"/>
      <c r="B45" s="112"/>
      <c r="C45" s="112"/>
      <c r="D45" s="112"/>
      <c r="E45" s="112"/>
      <c r="F45" s="79"/>
    </row>
    <row r="46" spans="1:6" ht="6.75" customHeight="1">
      <c r="A46" s="104"/>
      <c r="B46" s="104"/>
      <c r="C46" s="104"/>
      <c r="D46" s="104"/>
      <c r="E46" s="104"/>
      <c r="F46" s="104"/>
    </row>
    <row r="47" spans="1:6">
      <c r="A47" s="91" t="s">
        <v>67</v>
      </c>
      <c r="B47" s="105" t="s">
        <v>68</v>
      </c>
      <c r="C47" s="105" t="s">
        <v>419</v>
      </c>
      <c r="D47" s="88"/>
      <c r="E47" s="88"/>
      <c r="F47" s="91" t="s">
        <v>70</v>
      </c>
    </row>
    <row r="48" spans="1:6" ht="12.75" customHeight="1">
      <c r="A48" s="93" t="s">
        <v>189</v>
      </c>
      <c r="B48" s="93" t="s">
        <v>71</v>
      </c>
      <c r="C48" s="106" t="s">
        <v>420</v>
      </c>
      <c r="D48" s="509" t="s">
        <v>320</v>
      </c>
      <c r="E48" s="505" t="e">
        <f>VLOOKUP(CompanyProfile!$B$89,Employee!$A:$I,6,FALSE)</f>
        <v>#N/A</v>
      </c>
      <c r="F48" s="106" t="s">
        <v>72</v>
      </c>
    </row>
    <row r="49" spans="1:6">
      <c r="A49" s="87"/>
      <c r="B49" s="78"/>
      <c r="C49" s="78"/>
      <c r="D49" s="509" t="s">
        <v>212</v>
      </c>
      <c r="E49" s="506" t="e">
        <f>VLOOKUP(CompanyProfile!$B$89,Employee!$A:$I,7,FALSE)</f>
        <v>#N/A</v>
      </c>
      <c r="F49" s="753">
        <f>F36-F42</f>
        <v>101328</v>
      </c>
    </row>
    <row r="50" spans="1:6">
      <c r="A50" s="113">
        <f>CompanyProfile!V89</f>
        <v>234512</v>
      </c>
      <c r="B50" s="99">
        <f>CompanyProfile!W89</f>
        <v>28412</v>
      </c>
      <c r="C50" s="99">
        <f>CompanyProfile!X89</f>
        <v>1305</v>
      </c>
      <c r="D50" s="509" t="s">
        <v>213</v>
      </c>
      <c r="E50" s="507" t="e">
        <f>VLOOKUP(CompanyProfile!$B$89,Employee!$A:$I,8,FALSE)</f>
        <v>#N/A</v>
      </c>
      <c r="F50" s="754"/>
    </row>
    <row r="51" spans="1:6">
      <c r="A51" s="461"/>
    </row>
  </sheetData>
  <mergeCells count="6">
    <mergeCell ref="F22:F23"/>
    <mergeCell ref="F9:F10"/>
    <mergeCell ref="F15:F16"/>
    <mergeCell ref="F49:F50"/>
    <mergeCell ref="F42:F43"/>
    <mergeCell ref="F36:F37"/>
  </mergeCells>
  <phoneticPr fontId="27" type="noConversion"/>
  <printOptions horizontalCentered="1" verticalCentered="1"/>
  <pageMargins left="0.55118110236220474" right="0.55118110236220474" top="0.39370078740157483" bottom="0.39370078740157483" header="0.51181102362204722" footer="0.51181102362204722"/>
  <pageSetup paperSize="9" scale="97" orientation="portrait" r:id="rId1"/>
  <headerFooter alignWithMargins="0"/>
  <ignoredErrors>
    <ignoredError sqref="B36:C36" formula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7" enableFormatConditionsCalculation="0">
    <tabColor indexed="21"/>
  </sheetPr>
  <dimension ref="A1:N26"/>
  <sheetViews>
    <sheetView showGridLines="0" zoomScaleSheetLayoutView="100" workbookViewId="0">
      <selection sqref="A1:K1"/>
    </sheetView>
  </sheetViews>
  <sheetFormatPr defaultRowHeight="20.25"/>
  <cols>
    <col min="1" max="1" width="9.140625" style="397"/>
    <col min="2" max="2" width="27.42578125" style="397" customWidth="1"/>
    <col min="3" max="3" width="9.140625" style="397"/>
    <col min="4" max="4" width="10" style="397" customWidth="1"/>
    <col min="5" max="5" width="9.140625" style="397"/>
    <col min="6" max="6" width="11.42578125" style="397" customWidth="1"/>
    <col min="7" max="10" width="9.140625" style="397"/>
    <col min="11" max="11" width="16.85546875" style="397" customWidth="1"/>
    <col min="12" max="13" width="9.140625" style="397" hidden="1" customWidth="1"/>
    <col min="14" max="14" width="14.42578125" style="397" customWidth="1"/>
    <col min="15" max="16384" width="9.140625" style="397"/>
  </cols>
  <sheetData>
    <row r="1" spans="1:14" s="392" customFormat="1" ht="23.25">
      <c r="A1" s="762" t="s">
        <v>0</v>
      </c>
      <c r="B1" s="762"/>
      <c r="C1" s="762"/>
      <c r="D1" s="762"/>
      <c r="E1" s="762"/>
      <c r="F1" s="762"/>
      <c r="G1" s="762"/>
      <c r="H1" s="762"/>
      <c r="I1" s="762"/>
      <c r="J1" s="762"/>
      <c r="K1" s="762"/>
      <c r="L1" s="391"/>
      <c r="M1" s="391"/>
      <c r="N1" s="391"/>
    </row>
    <row r="2" spans="1:14" s="392" customFormat="1" ht="2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4" t="s">
        <v>1</v>
      </c>
      <c r="L2" s="393"/>
      <c r="M2" s="393"/>
      <c r="N2" s="393"/>
    </row>
    <row r="3" spans="1:14" s="392" customFormat="1" ht="21">
      <c r="A3" s="395" t="str">
        <f>"ชื่อสถานประกอบการ             "&amp;CompanyProfile!C2</f>
        <v>ชื่อสถานประกอบการ             หจก.ศิวะกรเซฟตี้ จำกัด</v>
      </c>
      <c r="B3" s="395"/>
      <c r="C3" s="395"/>
      <c r="D3" s="395"/>
      <c r="E3" s="395"/>
      <c r="F3" s="395"/>
      <c r="G3" s="395"/>
      <c r="H3" s="395"/>
      <c r="I3" s="764" t="str">
        <f>"เลขที่บัญชี   "&amp;CompanyProfile!C6</f>
        <v>เลขที่บัญชี   1234567890</v>
      </c>
      <c r="J3" s="764"/>
      <c r="K3" s="764"/>
      <c r="L3" s="395"/>
      <c r="M3" s="395"/>
      <c r="N3" s="395"/>
    </row>
    <row r="4" spans="1:14" s="392" customFormat="1" ht="21">
      <c r="A4" s="763" t="s">
        <v>2</v>
      </c>
      <c r="B4" s="763"/>
      <c r="C4" s="763"/>
      <c r="D4" s="763"/>
      <c r="E4" s="395"/>
      <c r="F4" s="395"/>
      <c r="G4" s="395"/>
      <c r="H4" s="395"/>
      <c r="I4" s="764" t="s">
        <v>3</v>
      </c>
      <c r="J4" s="764"/>
      <c r="K4" s="764"/>
      <c r="L4" s="395"/>
      <c r="M4" s="395"/>
      <c r="N4" s="395"/>
    </row>
    <row r="5" spans="1:14" s="392" customFormat="1" ht="21">
      <c r="A5" s="763" t="str">
        <f>"ที่อยู่   "&amp;CompanyProfile!C4</f>
        <v>ที่อยู่   52/617 หมู่ 10 ตำบลห้วยบง อำเภอเฉลิมพระเกียรติ จ.สระบุรี</v>
      </c>
      <c r="B5" s="763"/>
      <c r="C5" s="763"/>
      <c r="D5" s="763"/>
      <c r="E5" s="763"/>
      <c r="F5" s="763"/>
      <c r="G5" s="763"/>
      <c r="H5" s="763"/>
      <c r="I5" s="763"/>
      <c r="J5" s="764" t="str">
        <f>"อัตราเงินสมทบ "&amp;TEXT(CompanyProfile!C8," 0%")</f>
        <v>อัตราเงินสมทบ  5%</v>
      </c>
      <c r="K5" s="764"/>
      <c r="L5" s="395"/>
      <c r="M5" s="395"/>
      <c r="N5" s="395"/>
    </row>
    <row r="6" spans="1:14">
      <c r="A6" s="395" t="s">
        <v>366</v>
      </c>
      <c r="B6" s="395" t="s">
        <v>517</v>
      </c>
      <c r="C6" s="395"/>
      <c r="D6" s="395"/>
      <c r="E6" s="395"/>
      <c r="F6" s="395"/>
      <c r="G6" s="395"/>
      <c r="H6" s="395"/>
      <c r="I6" s="395"/>
      <c r="J6" s="395"/>
      <c r="K6" s="395"/>
      <c r="L6" s="395"/>
      <c r="M6" s="395"/>
      <c r="N6" s="395"/>
    </row>
    <row r="7" spans="1:14" ht="21" thickBot="1">
      <c r="A7" s="396"/>
      <c r="B7" s="396"/>
      <c r="C7" s="396"/>
      <c r="D7" s="396"/>
      <c r="E7" s="396"/>
      <c r="F7" s="396"/>
      <c r="G7" s="396"/>
      <c r="H7" s="396"/>
      <c r="I7" s="396"/>
      <c r="J7" s="396"/>
      <c r="K7" s="396"/>
      <c r="L7" s="396"/>
      <c r="M7" s="396"/>
      <c r="N7" s="396"/>
    </row>
    <row r="8" spans="1:14" ht="21.75" customHeight="1">
      <c r="A8" s="398" t="str">
        <f>"การนำส่งเงินสมทบสำหรับค่าจ้างเดือน  "&amp;TEXT(CompanyProfile!C12," ดดดด  พ.ศ. bbbb")</f>
        <v>การนำส่งเงินสมทบสำหรับค่าจ้างเดือน   กุมภาพันธ์  พ.ศ. 2557</v>
      </c>
      <c r="B8" s="399"/>
      <c r="C8" s="400"/>
      <c r="D8" s="401"/>
      <c r="E8" s="402"/>
      <c r="G8" s="765" t="s">
        <v>4</v>
      </c>
      <c r="H8" s="766"/>
      <c r="I8" s="766"/>
      <c r="J8" s="766"/>
      <c r="K8" s="767"/>
    </row>
    <row r="9" spans="1:14">
      <c r="A9" s="768" t="s">
        <v>175</v>
      </c>
      <c r="B9" s="769"/>
      <c r="C9" s="769" t="s">
        <v>147</v>
      </c>
      <c r="D9" s="769"/>
      <c r="E9" s="770"/>
      <c r="G9" s="756" t="s">
        <v>5</v>
      </c>
      <c r="H9" s="757"/>
      <c r="I9" s="757"/>
      <c r="J9" s="757"/>
      <c r="K9" s="758"/>
    </row>
    <row r="10" spans="1:14">
      <c r="A10" s="768"/>
      <c r="B10" s="769"/>
      <c r="C10" s="771" t="s">
        <v>151</v>
      </c>
      <c r="D10" s="771"/>
      <c r="E10" s="403" t="s">
        <v>152</v>
      </c>
      <c r="G10" s="756" t="s">
        <v>6</v>
      </c>
      <c r="H10" s="757"/>
      <c r="I10" s="757"/>
      <c r="J10" s="757"/>
      <c r="K10" s="758"/>
    </row>
    <row r="11" spans="1:14" ht="22.5">
      <c r="A11" s="404" t="s">
        <v>7</v>
      </c>
      <c r="B11" s="405" t="s">
        <v>8</v>
      </c>
      <c r="C11" s="406"/>
      <c r="D11" s="407">
        <f>SUM(สาขา1!J:J)</f>
        <v>588920</v>
      </c>
      <c r="E11" s="408" t="s">
        <v>155</v>
      </c>
      <c r="G11" s="756" t="s">
        <v>9</v>
      </c>
      <c r="H11" s="757"/>
      <c r="I11" s="757"/>
      <c r="J11" s="757"/>
      <c r="K11" s="758"/>
    </row>
    <row r="12" spans="1:14" ht="22.5">
      <c r="A12" s="404" t="s">
        <v>10</v>
      </c>
      <c r="B12" s="405" t="s">
        <v>11</v>
      </c>
      <c r="C12" s="409"/>
      <c r="D12" s="410">
        <f>SUM(สาขา1!K:K)</f>
        <v>8222</v>
      </c>
      <c r="E12" s="408" t="s">
        <v>155</v>
      </c>
      <c r="G12" s="756" t="s">
        <v>12</v>
      </c>
      <c r="H12" s="757"/>
      <c r="I12" s="757"/>
      <c r="J12" s="757"/>
      <c r="K12" s="758"/>
    </row>
    <row r="13" spans="1:14" ht="22.5">
      <c r="A13" s="404" t="s">
        <v>13</v>
      </c>
      <c r="B13" s="405" t="s">
        <v>14</v>
      </c>
      <c r="C13" s="409"/>
      <c r="D13" s="410">
        <f>D12</f>
        <v>8222</v>
      </c>
      <c r="E13" s="408" t="s">
        <v>155</v>
      </c>
      <c r="G13" s="759" t="s">
        <v>15</v>
      </c>
      <c r="H13" s="760"/>
      <c r="I13" s="760"/>
      <c r="J13" s="760"/>
      <c r="K13" s="761"/>
    </row>
    <row r="14" spans="1:14" ht="22.5">
      <c r="A14" s="404" t="s">
        <v>16</v>
      </c>
      <c r="B14" s="405" t="s">
        <v>17</v>
      </c>
      <c r="C14" s="409"/>
      <c r="D14" s="410">
        <f>SUM(D12:D13)</f>
        <v>16444</v>
      </c>
      <c r="E14" s="408" t="s">
        <v>155</v>
      </c>
      <c r="G14" s="778" t="s">
        <v>18</v>
      </c>
      <c r="H14" s="779"/>
      <c r="I14" s="779"/>
      <c r="J14" s="779"/>
      <c r="K14" s="780"/>
    </row>
    <row r="15" spans="1:14">
      <c r="A15" s="404"/>
      <c r="B15" s="775" t="str">
        <f>"="&amp;BAHTTEXT(D14)&amp;"="</f>
        <v>=หนึ่งหมื่นหกพันสี่ร้อยสี่สิบสี่บาทถ้วน=</v>
      </c>
      <c r="C15" s="776"/>
      <c r="D15" s="776"/>
      <c r="E15" s="777"/>
      <c r="G15" s="756" t="s">
        <v>5</v>
      </c>
      <c r="H15" s="757"/>
      <c r="I15" s="757"/>
      <c r="J15" s="757"/>
      <c r="K15" s="758"/>
    </row>
    <row r="16" spans="1:14" ht="21" thickBot="1">
      <c r="A16" s="411" t="s">
        <v>19</v>
      </c>
      <c r="B16" s="412" t="s">
        <v>20</v>
      </c>
      <c r="C16" s="413"/>
      <c r="D16" s="414">
        <f>COUNT(สาขา1!J:J)</f>
        <v>15</v>
      </c>
      <c r="E16" s="415" t="s">
        <v>21</v>
      </c>
      <c r="G16" s="756" t="s">
        <v>22</v>
      </c>
      <c r="H16" s="757"/>
      <c r="I16" s="757"/>
      <c r="J16" s="757"/>
      <c r="K16" s="758"/>
    </row>
    <row r="17" spans="1:11">
      <c r="A17" s="397" t="s">
        <v>23</v>
      </c>
      <c r="G17" s="756" t="s">
        <v>24</v>
      </c>
      <c r="H17" s="757"/>
      <c r="I17" s="757"/>
      <c r="J17" s="757"/>
      <c r="K17" s="758"/>
    </row>
    <row r="18" spans="1:11">
      <c r="A18" s="397" t="s">
        <v>25</v>
      </c>
      <c r="G18" s="772"/>
      <c r="H18" s="773"/>
      <c r="I18" s="773"/>
      <c r="J18" s="773"/>
      <c r="K18" s="774"/>
    </row>
    <row r="19" spans="1:11">
      <c r="B19" s="397" t="s">
        <v>26</v>
      </c>
      <c r="C19" s="397" t="s">
        <v>27</v>
      </c>
      <c r="G19" s="756" t="s">
        <v>12</v>
      </c>
      <c r="H19" s="757"/>
      <c r="I19" s="757"/>
      <c r="J19" s="757"/>
      <c r="K19" s="758"/>
    </row>
    <row r="20" spans="1:11">
      <c r="B20" s="397" t="s">
        <v>28</v>
      </c>
      <c r="C20" s="397" t="s">
        <v>29</v>
      </c>
      <c r="G20" s="759" t="s">
        <v>30</v>
      </c>
      <c r="H20" s="760"/>
      <c r="I20" s="760"/>
      <c r="J20" s="760"/>
      <c r="K20" s="761"/>
    </row>
    <row r="21" spans="1:11">
      <c r="B21" s="397" t="s">
        <v>31</v>
      </c>
      <c r="C21" s="397" t="s">
        <v>32</v>
      </c>
    </row>
    <row r="22" spans="1:11">
      <c r="B22" s="416"/>
    </row>
    <row r="23" spans="1:11">
      <c r="A23" s="394" t="s">
        <v>33</v>
      </c>
      <c r="B23" s="417"/>
      <c r="C23" s="397" t="s">
        <v>34</v>
      </c>
    </row>
    <row r="24" spans="1:11">
      <c r="B24" s="684" t="s">
        <v>518</v>
      </c>
    </row>
    <row r="25" spans="1:11">
      <c r="A25" s="394" t="s">
        <v>35</v>
      </c>
      <c r="B25" s="416" t="s">
        <v>36</v>
      </c>
    </row>
    <row r="26" spans="1:11">
      <c r="B26" s="397" t="s">
        <v>447</v>
      </c>
    </row>
  </sheetData>
  <mergeCells count="24">
    <mergeCell ref="G11:K11"/>
    <mergeCell ref="G12:K12"/>
    <mergeCell ref="G18:K18"/>
    <mergeCell ref="B15:E15"/>
    <mergeCell ref="G15:K15"/>
    <mergeCell ref="G16:K16"/>
    <mergeCell ref="G13:K13"/>
    <mergeCell ref="G14:K14"/>
    <mergeCell ref="G19:K19"/>
    <mergeCell ref="G17:K17"/>
    <mergeCell ref="G20:K20"/>
    <mergeCell ref="A1:K1"/>
    <mergeCell ref="A5:I5"/>
    <mergeCell ref="J5:K5"/>
    <mergeCell ref="G8:K8"/>
    <mergeCell ref="I3:K3"/>
    <mergeCell ref="A4:D4"/>
    <mergeCell ref="I4:K4"/>
    <mergeCell ref="A9:B9"/>
    <mergeCell ref="C9:E9"/>
    <mergeCell ref="G9:K9"/>
    <mergeCell ref="A10:B10"/>
    <mergeCell ref="C10:D10"/>
    <mergeCell ref="G10:K10"/>
  </mergeCells>
  <phoneticPr fontId="0" type="noConversion"/>
  <printOptions horizontalCentered="1"/>
  <pageMargins left="1.0236220472440944" right="0.51181102362204722" top="0.55118110236220474" bottom="0.39370078740157483" header="0.51181102362204722" footer="0.31496062992125984"/>
  <pageSetup paperSize="9" orientation="landscape" horizontalDpi="180" verticalDpi="18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9" enableFormatConditionsCalculation="0">
    <tabColor indexed="21"/>
    <pageSetUpPr fitToPage="1"/>
  </sheetPr>
  <dimension ref="A1:K40"/>
  <sheetViews>
    <sheetView zoomScaleSheetLayoutView="100" workbookViewId="0"/>
  </sheetViews>
  <sheetFormatPr defaultRowHeight="24" customHeight="1"/>
  <cols>
    <col min="1" max="1" width="7.5703125" customWidth="1"/>
    <col min="2" max="2" width="24.5703125" customWidth="1"/>
    <col min="3" max="3" width="11.42578125" customWidth="1"/>
    <col min="4" max="4" width="20.85546875" customWidth="1"/>
    <col min="5" max="5" width="38.42578125" customWidth="1"/>
    <col min="6" max="6" width="17.140625" customWidth="1"/>
    <col min="7" max="7" width="17.7109375" customWidth="1"/>
    <col min="10" max="11" width="9.140625" hidden="1" customWidth="1"/>
  </cols>
  <sheetData>
    <row r="1" spans="1:11" ht="24" customHeight="1">
      <c r="A1" s="418"/>
      <c r="B1" s="418"/>
      <c r="C1" s="419" t="s">
        <v>47</v>
      </c>
      <c r="D1" s="418"/>
      <c r="E1" s="418"/>
      <c r="F1" s="420"/>
      <c r="G1" s="420" t="s">
        <v>37</v>
      </c>
    </row>
    <row r="2" spans="1:11" ht="24" customHeight="1">
      <c r="A2" s="418" t="str">
        <f>"สำหรับค่าจ้างเดือน  "&amp;TEXT(CompanyProfile!$C$12," ดดดด  พ.ศ. bbbb")</f>
        <v>สำหรับค่าจ้างเดือน   กุมภาพันธ์  พ.ศ. 2557</v>
      </c>
      <c r="B2" s="418"/>
      <c r="C2" s="418"/>
      <c r="D2" s="418"/>
      <c r="E2" s="418"/>
      <c r="F2" s="511" t="s">
        <v>38</v>
      </c>
      <c r="G2" s="671">
        <f>CompanyProfile!$C$6</f>
        <v>1234567890</v>
      </c>
    </row>
    <row r="3" spans="1:11" ht="24" customHeight="1">
      <c r="A3" s="418" t="str">
        <f>"ชื่อสถานประกอบการ   "&amp;CompanyProfile!$C$2</f>
        <v>ชื่อสถานประกอบการ   หจก.ศิวะกรเซฟตี้ จำกัด</v>
      </c>
      <c r="B3" s="418"/>
      <c r="C3" s="418"/>
      <c r="D3" s="418"/>
      <c r="E3" s="418"/>
      <c r="F3" s="420" t="s">
        <v>39</v>
      </c>
      <c r="G3" s="437" t="str">
        <f>'สปส.1-10 ส่วนที่1'!$J$5</f>
        <v>อัตราเงินสมทบ  5%</v>
      </c>
    </row>
    <row r="4" spans="1:11" ht="24" customHeight="1">
      <c r="A4" s="421" t="s">
        <v>40</v>
      </c>
      <c r="B4" s="422" t="s">
        <v>188</v>
      </c>
      <c r="C4" s="422" t="s">
        <v>41</v>
      </c>
      <c r="D4" s="422" t="s">
        <v>80</v>
      </c>
      <c r="E4" s="422" t="s">
        <v>167</v>
      </c>
      <c r="F4" s="423" t="s">
        <v>353</v>
      </c>
      <c r="G4" s="423" t="s">
        <v>211</v>
      </c>
    </row>
    <row r="5" spans="1:11" ht="24" customHeight="1">
      <c r="A5" s="424"/>
      <c r="B5" s="425"/>
      <c r="C5" s="424"/>
      <c r="D5" s="424"/>
      <c r="E5" s="424"/>
      <c r="F5" s="512"/>
      <c r="G5" s="426" t="s">
        <v>42</v>
      </c>
    </row>
    <row r="6" spans="1:11" ht="24" customHeight="1">
      <c r="A6" s="694">
        <v>1</v>
      </c>
      <c r="B6" s="427">
        <v>1234567890123</v>
      </c>
      <c r="C6" s="428" t="s">
        <v>427</v>
      </c>
      <c r="D6" s="428" t="s">
        <v>429</v>
      </c>
      <c r="E6" s="428" t="s">
        <v>463</v>
      </c>
      <c r="F6" s="429">
        <v>157500</v>
      </c>
      <c r="G6" s="429">
        <v>600</v>
      </c>
      <c r="J6">
        <v>157500</v>
      </c>
      <c r="K6">
        <v>600</v>
      </c>
    </row>
    <row r="7" spans="1:11" ht="24" customHeight="1">
      <c r="A7" s="695">
        <v>2</v>
      </c>
      <c r="B7" s="430">
        <v>1234567890123</v>
      </c>
      <c r="C7" s="431" t="s">
        <v>427</v>
      </c>
      <c r="D7" s="431" t="s">
        <v>430</v>
      </c>
      <c r="E7" s="431" t="s">
        <v>464</v>
      </c>
      <c r="F7" s="432">
        <v>95000</v>
      </c>
      <c r="G7" s="429">
        <v>600</v>
      </c>
      <c r="J7">
        <v>95000</v>
      </c>
      <c r="K7">
        <v>600</v>
      </c>
    </row>
    <row r="8" spans="1:11" ht="24" customHeight="1">
      <c r="A8" s="695">
        <v>3</v>
      </c>
      <c r="B8" s="430">
        <v>1234567890123</v>
      </c>
      <c r="C8" s="431" t="s">
        <v>427</v>
      </c>
      <c r="D8" s="431" t="s">
        <v>431</v>
      </c>
      <c r="E8" s="431" t="s">
        <v>465</v>
      </c>
      <c r="F8" s="432">
        <v>12000</v>
      </c>
      <c r="G8" s="429">
        <v>480</v>
      </c>
      <c r="J8">
        <v>12000</v>
      </c>
      <c r="K8">
        <v>480</v>
      </c>
    </row>
    <row r="9" spans="1:11" ht="24" customHeight="1">
      <c r="A9" s="695">
        <v>4</v>
      </c>
      <c r="B9" s="430">
        <v>1234567890123</v>
      </c>
      <c r="C9" s="431" t="s">
        <v>173</v>
      </c>
      <c r="D9" s="431" t="s">
        <v>432</v>
      </c>
      <c r="E9" s="431" t="s">
        <v>466</v>
      </c>
      <c r="F9" s="432">
        <v>38896</v>
      </c>
      <c r="G9" s="429">
        <v>600</v>
      </c>
      <c r="J9">
        <v>38896</v>
      </c>
      <c r="K9">
        <v>600</v>
      </c>
    </row>
    <row r="10" spans="1:11" ht="24" customHeight="1">
      <c r="A10" s="695">
        <v>5</v>
      </c>
      <c r="B10" s="430">
        <v>1234567890123</v>
      </c>
      <c r="C10" s="431" t="s">
        <v>173</v>
      </c>
      <c r="D10" s="431" t="s">
        <v>436</v>
      </c>
      <c r="E10" s="431" t="s">
        <v>470</v>
      </c>
      <c r="F10" s="432">
        <v>6000</v>
      </c>
      <c r="G10" s="429">
        <v>240</v>
      </c>
      <c r="J10">
        <v>6000</v>
      </c>
      <c r="K10">
        <v>240</v>
      </c>
    </row>
    <row r="11" spans="1:11" ht="24" customHeight="1">
      <c r="A11" s="695">
        <v>6</v>
      </c>
      <c r="B11" s="430">
        <v>1234567890123</v>
      </c>
      <c r="C11" s="431" t="s">
        <v>427</v>
      </c>
      <c r="D11" s="431" t="s">
        <v>438</v>
      </c>
      <c r="E11" s="431" t="s">
        <v>472</v>
      </c>
      <c r="F11" s="432">
        <v>45110</v>
      </c>
      <c r="G11" s="429">
        <v>600</v>
      </c>
      <c r="J11">
        <v>45110</v>
      </c>
      <c r="K11">
        <v>600</v>
      </c>
    </row>
    <row r="12" spans="1:11" ht="24" customHeight="1">
      <c r="A12" s="695">
        <v>7</v>
      </c>
      <c r="B12" s="430">
        <v>1234567890123</v>
      </c>
      <c r="C12" s="431" t="s">
        <v>427</v>
      </c>
      <c r="D12" s="431" t="s">
        <v>439</v>
      </c>
      <c r="E12" s="431" t="s">
        <v>473</v>
      </c>
      <c r="F12" s="432">
        <v>7554</v>
      </c>
      <c r="G12" s="429">
        <v>302</v>
      </c>
      <c r="J12">
        <v>7554</v>
      </c>
      <c r="K12">
        <v>302</v>
      </c>
    </row>
    <row r="13" spans="1:11" ht="24" customHeight="1">
      <c r="A13" s="695">
        <v>8</v>
      </c>
      <c r="B13" s="430">
        <v>1234567890123</v>
      </c>
      <c r="C13" s="431" t="s">
        <v>173</v>
      </c>
      <c r="D13" s="431" t="s">
        <v>440</v>
      </c>
      <c r="E13" s="431" t="s">
        <v>474</v>
      </c>
      <c r="F13" s="432">
        <v>29500</v>
      </c>
      <c r="G13" s="429">
        <v>600</v>
      </c>
      <c r="J13">
        <v>29500</v>
      </c>
      <c r="K13">
        <v>600</v>
      </c>
    </row>
    <row r="14" spans="1:11" ht="24" customHeight="1">
      <c r="A14" s="695">
        <v>9</v>
      </c>
      <c r="B14" s="430">
        <v>1234567890123</v>
      </c>
      <c r="C14" s="431" t="s">
        <v>173</v>
      </c>
      <c r="D14" s="431" t="s">
        <v>441</v>
      </c>
      <c r="E14" s="431" t="s">
        <v>475</v>
      </c>
      <c r="F14" s="432">
        <v>18500</v>
      </c>
      <c r="G14" s="429">
        <v>600</v>
      </c>
      <c r="J14">
        <v>18500</v>
      </c>
      <c r="K14">
        <v>600</v>
      </c>
    </row>
    <row r="15" spans="1:11" ht="24" customHeight="1">
      <c r="A15" s="695">
        <v>10</v>
      </c>
      <c r="B15" s="430">
        <v>1234567890123</v>
      </c>
      <c r="C15" s="431" t="s">
        <v>427</v>
      </c>
      <c r="D15" s="431" t="s">
        <v>442</v>
      </c>
      <c r="E15" s="431" t="s">
        <v>476</v>
      </c>
      <c r="F15" s="432">
        <v>15000</v>
      </c>
      <c r="G15" s="429">
        <v>600</v>
      </c>
      <c r="J15">
        <v>15000</v>
      </c>
      <c r="K15">
        <v>600</v>
      </c>
    </row>
    <row r="16" spans="1:11" ht="24" customHeight="1">
      <c r="A16" s="695">
        <v>11</v>
      </c>
      <c r="B16" s="430">
        <v>1234567890123</v>
      </c>
      <c r="C16" s="431" t="s">
        <v>173</v>
      </c>
      <c r="D16" s="431" t="s">
        <v>428</v>
      </c>
      <c r="E16" s="431" t="s">
        <v>477</v>
      </c>
      <c r="F16" s="432">
        <v>40000</v>
      </c>
      <c r="G16" s="429">
        <v>600</v>
      </c>
      <c r="J16">
        <v>40000</v>
      </c>
      <c r="K16">
        <v>600</v>
      </c>
    </row>
    <row r="17" spans="1:11" ht="24" customHeight="1">
      <c r="A17" s="424">
        <v>12</v>
      </c>
      <c r="B17" s="430">
        <v>1234567890123</v>
      </c>
      <c r="C17" s="431" t="s">
        <v>173</v>
      </c>
      <c r="D17" s="431" t="s">
        <v>429</v>
      </c>
      <c r="E17" s="431" t="s">
        <v>478</v>
      </c>
      <c r="F17" s="433">
        <v>35760</v>
      </c>
      <c r="G17" s="429">
        <v>600</v>
      </c>
      <c r="J17">
        <v>35760</v>
      </c>
      <c r="K17">
        <v>600</v>
      </c>
    </row>
    <row r="18" spans="1:11" ht="24" customHeight="1" thickBot="1">
      <c r="A18" s="434" t="s">
        <v>43</v>
      </c>
      <c r="B18" s="722" t="s">
        <v>48</v>
      </c>
      <c r="C18" s="722"/>
      <c r="D18" s="722"/>
      <c r="E18" s="723"/>
      <c r="F18" s="435">
        <f>SUM(F6:F17)</f>
        <v>500820</v>
      </c>
      <c r="G18" s="435">
        <f>SUM(G6:G17)</f>
        <v>6422</v>
      </c>
    </row>
    <row r="19" spans="1:11" ht="24" customHeight="1" thickTop="1">
      <c r="A19" s="418"/>
      <c r="B19" s="710" t="s">
        <v>49</v>
      </c>
      <c r="C19" s="710"/>
      <c r="D19" s="710"/>
      <c r="E19" s="710"/>
      <c r="F19" s="436"/>
      <c r="G19" s="436"/>
    </row>
    <row r="20" spans="1:11" ht="24" customHeight="1">
      <c r="A20" s="418"/>
      <c r="B20" s="710" t="s">
        <v>44</v>
      </c>
      <c r="C20" s="710"/>
      <c r="D20" s="710"/>
      <c r="E20" s="710"/>
      <c r="F20" s="711" t="s">
        <v>45</v>
      </c>
      <c r="G20" s="711"/>
    </row>
    <row r="21" spans="1:11" ht="24" customHeight="1">
      <c r="A21" s="418"/>
      <c r="B21" s="418"/>
      <c r="C21" s="419" t="s">
        <v>47</v>
      </c>
      <c r="D21" s="418"/>
      <c r="E21" s="418"/>
      <c r="F21" s="420"/>
      <c r="G21" s="420" t="s">
        <v>37</v>
      </c>
    </row>
    <row r="22" spans="1:11" ht="24" customHeight="1">
      <c r="A22" s="418" t="str">
        <f>"สำหรับค่าจ้างเดือน  "&amp;TEXT(CompanyProfile!$C$12," ดดดด  พ.ศ. bbbb")</f>
        <v>สำหรับค่าจ้างเดือน   กุมภาพันธ์  พ.ศ. 2557</v>
      </c>
      <c r="B22" s="418"/>
      <c r="C22" s="418"/>
      <c r="D22" s="418"/>
      <c r="E22" s="418"/>
      <c r="F22" s="511" t="s">
        <v>38</v>
      </c>
      <c r="G22" s="671">
        <f>CompanyProfile!$C$6</f>
        <v>1234567890</v>
      </c>
    </row>
    <row r="23" spans="1:11" ht="24" customHeight="1">
      <c r="A23" s="418" t="str">
        <f>"ชื่อสถานประกอบการ   "&amp;CompanyProfile!$C$2</f>
        <v>ชื่อสถานประกอบการ   หจก.ศิวะกรเซฟตี้ จำกัด</v>
      </c>
      <c r="B23" s="418"/>
      <c r="C23" s="418"/>
      <c r="D23" s="418"/>
      <c r="E23" s="418"/>
      <c r="F23" s="420" t="s">
        <v>39</v>
      </c>
      <c r="G23" s="437" t="str">
        <f>'สปส.1-10 ส่วนที่1'!$J$5</f>
        <v>อัตราเงินสมทบ  5%</v>
      </c>
    </row>
    <row r="24" spans="1:11" ht="24" customHeight="1">
      <c r="A24" s="421" t="s">
        <v>40</v>
      </c>
      <c r="B24" s="422" t="s">
        <v>188</v>
      </c>
      <c r="C24" s="422" t="s">
        <v>41</v>
      </c>
      <c r="D24" s="422" t="s">
        <v>80</v>
      </c>
      <c r="E24" s="422" t="s">
        <v>167</v>
      </c>
      <c r="F24" s="423" t="s">
        <v>353</v>
      </c>
      <c r="G24" s="423" t="s">
        <v>211</v>
      </c>
    </row>
    <row r="25" spans="1:11" ht="24" customHeight="1">
      <c r="A25" s="424"/>
      <c r="B25" s="425"/>
      <c r="C25" s="424"/>
      <c r="D25" s="424"/>
      <c r="E25" s="424"/>
      <c r="F25" s="512"/>
      <c r="G25" s="426" t="s">
        <v>42</v>
      </c>
    </row>
    <row r="26" spans="1:11" ht="24" customHeight="1">
      <c r="A26" s="694">
        <v>13</v>
      </c>
      <c r="B26" s="427">
        <v>1234567890123</v>
      </c>
      <c r="C26" s="428" t="s">
        <v>173</v>
      </c>
      <c r="D26" s="428" t="s">
        <v>430</v>
      </c>
      <c r="E26" s="428" t="s">
        <v>479</v>
      </c>
      <c r="F26" s="429">
        <v>21550</v>
      </c>
      <c r="G26" s="429">
        <v>600</v>
      </c>
      <c r="J26">
        <v>21550</v>
      </c>
      <c r="K26">
        <v>600</v>
      </c>
    </row>
    <row r="27" spans="1:11" ht="24" customHeight="1">
      <c r="A27" s="695">
        <v>14</v>
      </c>
      <c r="B27" s="430">
        <v>1234567890123</v>
      </c>
      <c r="C27" s="431" t="s">
        <v>173</v>
      </c>
      <c r="D27" s="431" t="s">
        <v>431</v>
      </c>
      <c r="E27" s="431" t="s">
        <v>480</v>
      </c>
      <c r="F27" s="432">
        <v>21550</v>
      </c>
      <c r="G27" s="429">
        <v>600</v>
      </c>
      <c r="J27">
        <v>21550</v>
      </c>
      <c r="K27">
        <v>600</v>
      </c>
    </row>
    <row r="28" spans="1:11" ht="24" customHeight="1">
      <c r="A28" s="695">
        <v>15</v>
      </c>
      <c r="B28" s="430">
        <v>1234567890123</v>
      </c>
      <c r="C28" s="431" t="s">
        <v>173</v>
      </c>
      <c r="D28" s="431" t="s">
        <v>432</v>
      </c>
      <c r="E28" s="431" t="s">
        <v>481</v>
      </c>
      <c r="F28" s="432">
        <v>45000</v>
      </c>
      <c r="G28" s="429">
        <v>600</v>
      </c>
      <c r="J28">
        <v>45000</v>
      </c>
      <c r="K28">
        <v>600</v>
      </c>
    </row>
    <row r="29" spans="1:11" ht="24" customHeight="1">
      <c r="A29" s="695"/>
      <c r="B29" s="430"/>
      <c r="C29" s="431"/>
      <c r="D29" s="431"/>
      <c r="E29" s="431"/>
      <c r="F29" s="432"/>
      <c r="G29" s="429"/>
    </row>
    <row r="30" spans="1:11" ht="24" customHeight="1">
      <c r="A30" s="695"/>
      <c r="B30" s="430"/>
      <c r="C30" s="431"/>
      <c r="D30" s="431"/>
      <c r="E30" s="431"/>
      <c r="F30" s="432"/>
      <c r="G30" s="429"/>
    </row>
    <row r="31" spans="1:11" ht="24" customHeight="1">
      <c r="A31" s="695"/>
      <c r="B31" s="430"/>
      <c r="C31" s="431"/>
      <c r="D31" s="431"/>
      <c r="E31" s="431"/>
      <c r="F31" s="432"/>
      <c r="G31" s="429"/>
    </row>
    <row r="32" spans="1:11" ht="24" customHeight="1">
      <c r="A32" s="695"/>
      <c r="B32" s="430"/>
      <c r="C32" s="431"/>
      <c r="D32" s="431"/>
      <c r="E32" s="431"/>
      <c r="F32" s="432"/>
      <c r="G32" s="429"/>
    </row>
    <row r="33" spans="1:7" ht="24" customHeight="1">
      <c r="A33" s="695"/>
      <c r="B33" s="430"/>
      <c r="C33" s="431"/>
      <c r="D33" s="431"/>
      <c r="E33" s="431"/>
      <c r="F33" s="432"/>
      <c r="G33" s="429"/>
    </row>
    <row r="34" spans="1:7" ht="24" customHeight="1">
      <c r="A34" s="695"/>
      <c r="B34" s="430"/>
      <c r="C34" s="431"/>
      <c r="D34" s="431"/>
      <c r="E34" s="431"/>
      <c r="F34" s="432"/>
      <c r="G34" s="429"/>
    </row>
    <row r="35" spans="1:7" ht="24" customHeight="1">
      <c r="A35" s="695"/>
      <c r="B35" s="430"/>
      <c r="C35" s="431"/>
      <c r="D35" s="431"/>
      <c r="E35" s="431"/>
      <c r="F35" s="432"/>
      <c r="G35" s="429"/>
    </row>
    <row r="36" spans="1:7" ht="24" customHeight="1">
      <c r="A36" s="695"/>
      <c r="B36" s="430"/>
      <c r="C36" s="431"/>
      <c r="D36" s="431"/>
      <c r="E36" s="431"/>
      <c r="F36" s="432"/>
      <c r="G36" s="429"/>
    </row>
    <row r="37" spans="1:7" ht="24" customHeight="1">
      <c r="A37" s="424"/>
      <c r="B37" s="430"/>
      <c r="C37" s="431"/>
      <c r="D37" s="431"/>
      <c r="E37" s="431"/>
      <c r="F37" s="433"/>
      <c r="G37" s="429"/>
    </row>
    <row r="38" spans="1:7" ht="24" customHeight="1" thickBot="1">
      <c r="A38" s="434" t="s">
        <v>43</v>
      </c>
      <c r="B38" s="722" t="s">
        <v>48</v>
      </c>
      <c r="C38" s="722"/>
      <c r="D38" s="722"/>
      <c r="E38" s="723"/>
      <c r="F38" s="435">
        <f>SUM(F26:F37)</f>
        <v>88100</v>
      </c>
      <c r="G38" s="435">
        <f>SUM(G26:G37)</f>
        <v>1800</v>
      </c>
    </row>
    <row r="39" spans="1:7" ht="24" customHeight="1" thickTop="1">
      <c r="A39" s="418"/>
      <c r="B39" s="710" t="s">
        <v>49</v>
      </c>
      <c r="C39" s="710"/>
      <c r="D39" s="710"/>
      <c r="E39" s="710"/>
      <c r="F39" s="436"/>
      <c r="G39" s="436"/>
    </row>
    <row r="40" spans="1:7" ht="24" customHeight="1">
      <c r="A40" s="418"/>
      <c r="B40" s="710" t="s">
        <v>44</v>
      </c>
      <c r="C40" s="710"/>
      <c r="D40" s="710"/>
      <c r="E40" s="710"/>
      <c r="F40" s="711" t="s">
        <v>45</v>
      </c>
      <c r="G40" s="711"/>
    </row>
  </sheetData>
  <mergeCells count="8">
    <mergeCell ref="B40:E40"/>
    <mergeCell ref="B18:E18"/>
    <mergeCell ref="F20:G20"/>
    <mergeCell ref="F40:G40"/>
    <mergeCell ref="B19:E19"/>
    <mergeCell ref="B20:E20"/>
    <mergeCell ref="B38:E38"/>
    <mergeCell ref="B39:E39"/>
  </mergeCells>
  <phoneticPr fontId="0" type="noConversion"/>
  <pageMargins left="0.75" right="0.75" top="1" bottom="1" header="0.5" footer="0.5"/>
  <pageSetup paperSize="9" fitToHeight="32" orientation="landscape" horizontalDpi="180" verticalDpi="180" r:id="rId1"/>
  <headerFooter alignWithMargins="0"/>
  <rowBreaks count="13" manualBreakCount="13">
    <brk id="20" max="16383" man="1"/>
    <brk id="40" max="16383" man="1"/>
    <brk id="60" max="16383" man="1"/>
    <brk id="80" max="16383" man="1"/>
    <brk id="100" max="16383" man="1"/>
    <brk id="120" max="16383" man="1"/>
    <brk id="140" max="16383" man="1"/>
    <brk id="160" max="16383" man="1"/>
    <brk id="180" max="16383" man="1"/>
    <brk id="200" max="16383" man="1"/>
    <brk id="220" max="16383" man="1"/>
    <brk id="240" max="16383" man="1"/>
    <brk id="26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 enableFormatConditionsCalculation="0">
    <tabColor indexed="21"/>
  </sheetPr>
  <dimension ref="A1:F141"/>
  <sheetViews>
    <sheetView workbookViewId="0"/>
  </sheetViews>
  <sheetFormatPr defaultRowHeight="21.75"/>
  <cols>
    <col min="1" max="1" width="9.7109375" customWidth="1"/>
    <col min="2" max="3" width="39.140625" customWidth="1"/>
    <col min="4" max="4" width="19.85546875" customWidth="1"/>
    <col min="5" max="5" width="19.7109375" customWidth="1"/>
    <col min="6" max="6" width="20" customWidth="1"/>
  </cols>
  <sheetData>
    <row r="1" spans="1:6">
      <c r="A1" s="464"/>
      <c r="B1" s="464"/>
      <c r="C1" s="464"/>
      <c r="D1" s="464"/>
      <c r="E1" s="464"/>
      <c r="F1" s="465" t="s">
        <v>371</v>
      </c>
    </row>
    <row r="2" spans="1:6" ht="24.75" customHeight="1">
      <c r="A2" s="717" t="s">
        <v>372</v>
      </c>
      <c r="B2" s="717"/>
      <c r="C2" s="717"/>
      <c r="D2" s="717"/>
      <c r="E2" s="717"/>
      <c r="F2" s="717"/>
    </row>
    <row r="3" spans="1:6" ht="24.75" customHeight="1">
      <c r="A3" s="464" t="str">
        <f>"ชื่อสถานประกอบการ ........................."&amp;CompanyProfile!$C$2&amp;"............................................................................  เลขที่บัญชี ............"&amp;CompanyProfile!$C$6&amp;"...................."</f>
        <v>ชื่อสถานประกอบการ .........................หจก.ศิวะกรเซฟตี้ จำกัด............................................................................  เลขที่บัญชี ............1234567890....................</v>
      </c>
      <c r="B3" s="464"/>
      <c r="C3" s="464"/>
      <c r="D3" s="464"/>
      <c r="E3" s="464"/>
      <c r="F3" s="464"/>
    </row>
    <row r="4" spans="1:6" ht="24.75" customHeight="1">
      <c r="A4" s="464" t="s">
        <v>373</v>
      </c>
      <c r="B4" s="464"/>
      <c r="C4" s="464"/>
      <c r="D4" s="464"/>
      <c r="E4" s="464"/>
      <c r="F4" s="464"/>
    </row>
    <row r="5" spans="1:6" ht="24.75" customHeight="1">
      <c r="A5" s="464" t="s">
        <v>374</v>
      </c>
      <c r="B5" s="464"/>
      <c r="C5" s="464"/>
      <c r="D5" s="464"/>
      <c r="E5" s="464"/>
      <c r="F5" s="464"/>
    </row>
    <row r="6" spans="1:6" ht="24.75" customHeight="1">
      <c r="A6" s="464" t="s">
        <v>375</v>
      </c>
      <c r="B6" s="464"/>
      <c r="C6" s="464"/>
      <c r="D6" s="464"/>
      <c r="E6" s="466"/>
      <c r="F6" s="464"/>
    </row>
    <row r="7" spans="1:6">
      <c r="A7" s="467" t="s">
        <v>123</v>
      </c>
      <c r="B7" s="714" t="s">
        <v>188</v>
      </c>
      <c r="C7" s="719" t="s">
        <v>376</v>
      </c>
      <c r="D7" s="467" t="s">
        <v>377</v>
      </c>
      <c r="E7" s="468" t="s">
        <v>46</v>
      </c>
      <c r="F7" s="467" t="s">
        <v>46</v>
      </c>
    </row>
    <row r="8" spans="1:6">
      <c r="A8" s="469" t="s">
        <v>129</v>
      </c>
      <c r="B8" s="718"/>
      <c r="C8" s="720"/>
      <c r="D8" s="469" t="s">
        <v>378</v>
      </c>
      <c r="E8" s="470" t="s">
        <v>379</v>
      </c>
      <c r="F8" s="469" t="s">
        <v>380</v>
      </c>
    </row>
    <row r="9" spans="1:6">
      <c r="A9" s="471"/>
      <c r="B9" s="715"/>
      <c r="C9" s="721"/>
      <c r="D9" s="472"/>
      <c r="E9" s="473" t="s">
        <v>381</v>
      </c>
      <c r="F9" s="471" t="s">
        <v>382</v>
      </c>
    </row>
    <row r="10" spans="1:6" ht="21" customHeight="1">
      <c r="A10" s="474"/>
      <c r="B10" s="475"/>
      <c r="C10" s="476"/>
      <c r="D10" s="477"/>
      <c r="E10" s="478"/>
      <c r="F10" s="478"/>
    </row>
    <row r="11" spans="1:6" ht="21" customHeight="1">
      <c r="A11" s="480"/>
      <c r="B11" s="481"/>
      <c r="C11" s="482"/>
      <c r="D11" s="483"/>
      <c r="E11" s="484"/>
      <c r="F11" s="484"/>
    </row>
    <row r="12" spans="1:6" ht="21" customHeight="1">
      <c r="A12" s="480"/>
      <c r="B12" s="481"/>
      <c r="C12" s="482"/>
      <c r="D12" s="483"/>
      <c r="E12" s="484"/>
      <c r="F12" s="484"/>
    </row>
    <row r="13" spans="1:6" ht="21" customHeight="1">
      <c r="A13" s="480"/>
      <c r="B13" s="481"/>
      <c r="C13" s="482"/>
      <c r="D13" s="483"/>
      <c r="E13" s="484"/>
      <c r="F13" s="484"/>
    </row>
    <row r="14" spans="1:6" ht="21" customHeight="1">
      <c r="A14" s="480"/>
      <c r="B14" s="481"/>
      <c r="C14" s="482"/>
      <c r="D14" s="483"/>
      <c r="E14" s="484"/>
      <c r="F14" s="484"/>
    </row>
    <row r="15" spans="1:6" ht="21" customHeight="1">
      <c r="A15" s="480"/>
      <c r="B15" s="481"/>
      <c r="C15" s="482"/>
      <c r="D15" s="483"/>
      <c r="E15" s="484"/>
      <c r="F15" s="484"/>
    </row>
    <row r="16" spans="1:6" ht="21" customHeight="1">
      <c r="A16" s="485"/>
      <c r="B16" s="486"/>
      <c r="C16" s="487"/>
      <c r="D16" s="488"/>
      <c r="E16" s="487"/>
      <c r="F16" s="487"/>
    </row>
    <row r="17" spans="1:6">
      <c r="A17" s="464"/>
      <c r="B17" s="464"/>
      <c r="C17" s="464"/>
      <c r="D17" s="464"/>
      <c r="E17" s="464"/>
      <c r="F17" s="464"/>
    </row>
    <row r="18" spans="1:6">
      <c r="A18" s="464"/>
      <c r="B18" s="464"/>
      <c r="C18" s="464"/>
      <c r="D18" s="464"/>
      <c r="E18" s="464"/>
      <c r="F18" s="464"/>
    </row>
    <row r="19" spans="1:6">
      <c r="A19" s="464" t="s">
        <v>43</v>
      </c>
      <c r="B19" s="464" t="s">
        <v>383</v>
      </c>
      <c r="C19" s="464"/>
      <c r="D19" s="464" t="s">
        <v>384</v>
      </c>
      <c r="E19" s="464"/>
      <c r="F19" s="464"/>
    </row>
    <row r="20" spans="1:6">
      <c r="A20" s="464"/>
      <c r="B20" s="464" t="s">
        <v>385</v>
      </c>
      <c r="C20" s="464"/>
      <c r="D20" s="464"/>
      <c r="E20" s="464"/>
      <c r="F20" s="464"/>
    </row>
    <row r="21" spans="1:6">
      <c r="A21" s="464"/>
      <c r="B21" s="464"/>
      <c r="C21" s="464"/>
      <c r="D21" s="464"/>
      <c r="E21" s="464"/>
      <c r="F21" s="464"/>
    </row>
    <row r="22" spans="1:6">
      <c r="A22" s="464"/>
      <c r="B22" s="464" t="s">
        <v>386</v>
      </c>
      <c r="C22" s="489" t="s">
        <v>33</v>
      </c>
      <c r="D22" s="464" t="s">
        <v>387</v>
      </c>
      <c r="E22" s="464"/>
      <c r="F22" s="464"/>
    </row>
    <row r="23" spans="1:6">
      <c r="A23" s="464"/>
      <c r="B23" s="464" t="s">
        <v>388</v>
      </c>
      <c r="C23" s="464"/>
      <c r="D23" s="464" t="s">
        <v>511</v>
      </c>
      <c r="E23" s="464"/>
      <c r="F23" s="464"/>
    </row>
    <row r="24" spans="1:6">
      <c r="A24" s="464"/>
      <c r="B24" s="464" t="s">
        <v>389</v>
      </c>
      <c r="C24" s="464"/>
      <c r="D24" s="464" t="s">
        <v>513</v>
      </c>
      <c r="E24" s="464"/>
      <c r="F24" s="464"/>
    </row>
    <row r="25" spans="1:6">
      <c r="A25" s="464"/>
      <c r="B25" s="464" t="s">
        <v>390</v>
      </c>
      <c r="C25" s="464"/>
      <c r="D25" s="464" t="s">
        <v>391</v>
      </c>
      <c r="E25" s="464"/>
      <c r="F25" s="464"/>
    </row>
    <row r="27" spans="1:6" ht="24.75" customHeight="1"/>
    <row r="28" spans="1:6" ht="24.75" customHeight="1"/>
    <row r="29" spans="1:6" ht="24.75" customHeight="1"/>
    <row r="30" spans="1:6" ht="24.75" customHeight="1"/>
    <row r="31" spans="1:6" ht="24.75" customHeight="1"/>
    <row r="35" ht="21" customHeight="1"/>
    <row r="36" ht="21" customHeight="1"/>
    <row r="37" ht="21" customHeight="1"/>
    <row r="38" ht="21" customHeight="1"/>
    <row r="39" ht="21" customHeight="1"/>
    <row r="40" ht="21" customHeight="1"/>
    <row r="41" ht="21" customHeight="1"/>
    <row r="52" ht="24.75" customHeight="1"/>
    <row r="53" ht="24.75" customHeight="1"/>
    <row r="54" ht="24.75" customHeight="1"/>
    <row r="55" ht="24.75" customHeight="1"/>
    <row r="56" ht="24.75" customHeight="1"/>
    <row r="60" ht="21" customHeight="1"/>
    <row r="61" ht="21" customHeight="1"/>
    <row r="62" ht="21" customHeight="1"/>
    <row r="63" ht="21" customHeight="1"/>
    <row r="64" ht="21" customHeight="1"/>
    <row r="65" ht="21" customHeight="1"/>
    <row r="66" ht="21" customHeight="1"/>
    <row r="77" ht="24.75" customHeight="1"/>
    <row r="78" ht="24.75" customHeight="1"/>
    <row r="79" ht="24.75" customHeight="1"/>
    <row r="80" ht="24.75" customHeight="1"/>
    <row r="81" ht="24.75" customHeight="1"/>
    <row r="85" ht="21" customHeight="1"/>
    <row r="86" ht="21" customHeight="1"/>
    <row r="87" ht="21" customHeight="1"/>
    <row r="88" ht="21" customHeight="1"/>
    <row r="89" ht="21" customHeight="1"/>
    <row r="90" ht="21" customHeight="1"/>
    <row r="91" ht="21" customHeight="1"/>
    <row r="102" ht="24.75" customHeight="1"/>
    <row r="103" ht="24.75" customHeight="1"/>
    <row r="104" ht="24.75" customHeight="1"/>
    <row r="105" ht="24.75" customHeight="1"/>
    <row r="106" ht="24.75" customHeight="1"/>
    <row r="110" ht="21" customHeight="1"/>
    <row r="111" ht="21" customHeight="1"/>
    <row r="112" ht="21" customHeight="1"/>
    <row r="113" ht="21" customHeight="1"/>
    <row r="114" ht="21" customHeight="1"/>
    <row r="115" ht="21" customHeight="1"/>
    <row r="116" ht="21" customHeight="1"/>
    <row r="127" ht="24.75" customHeight="1"/>
    <row r="128" ht="24.75" customHeight="1"/>
    <row r="129" ht="24.75" customHeight="1"/>
    <row r="130" ht="24.75" customHeight="1"/>
    <row r="131" ht="24.75" customHeight="1"/>
    <row r="135" ht="21" customHeight="1"/>
    <row r="136" ht="21" customHeight="1"/>
    <row r="137" ht="21" customHeight="1"/>
    <row r="138" ht="21" customHeight="1"/>
    <row r="139" ht="21" customHeight="1"/>
    <row r="140" ht="21" customHeight="1"/>
    <row r="141" ht="21" customHeight="1"/>
  </sheetData>
  <mergeCells count="3">
    <mergeCell ref="A2:F2"/>
    <mergeCell ref="B7:B9"/>
    <mergeCell ref="C7:C9"/>
  </mergeCells>
  <phoneticPr fontId="61" type="noConversion"/>
  <printOptions horizontalCentered="1"/>
  <pageMargins left="0.27559055118110237" right="0.19685039370078741" top="0.55118110236220474" bottom="0.35433070866141736" header="0.35433070866141736" footer="0.15748031496062992"/>
  <pageSetup paperSize="9" orientation="landscape" r:id="rId1"/>
  <headerFooter alignWithMargins="0"/>
  <rowBreaks count="1" manualBreakCount="1">
    <brk id="2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7" enableFormatConditionsCalculation="0">
    <tabColor indexed="21"/>
  </sheetPr>
  <dimension ref="A1:J141"/>
  <sheetViews>
    <sheetView topLeftCell="A4" workbookViewId="0"/>
  </sheetViews>
  <sheetFormatPr defaultRowHeight="21.75"/>
  <cols>
    <col min="1" max="1" width="9.7109375" customWidth="1"/>
    <col min="2" max="2" width="43.42578125" customWidth="1"/>
    <col min="3" max="3" width="41.7109375" customWidth="1"/>
    <col min="4" max="4" width="19.28515625" bestFit="1" customWidth="1"/>
    <col min="5" max="10" width="5.42578125" customWidth="1"/>
  </cols>
  <sheetData>
    <row r="1" spans="1:10">
      <c r="A1" s="464"/>
      <c r="B1" s="464"/>
      <c r="C1" s="464"/>
      <c r="D1" s="464"/>
      <c r="E1" s="464"/>
      <c r="F1" s="464"/>
      <c r="G1" s="464"/>
      <c r="H1" s="464"/>
      <c r="I1" s="479" t="s">
        <v>392</v>
      </c>
      <c r="J1" s="464"/>
    </row>
    <row r="2" spans="1:10" ht="24.75" customHeight="1">
      <c r="A2" s="717" t="s">
        <v>393</v>
      </c>
      <c r="B2" s="717"/>
      <c r="C2" s="717"/>
      <c r="D2" s="717"/>
      <c r="E2" s="717"/>
      <c r="F2" s="717"/>
      <c r="G2" s="717"/>
      <c r="H2" s="717"/>
      <c r="I2" s="717"/>
      <c r="J2" s="717"/>
    </row>
    <row r="3" spans="1:10">
      <c r="A3" s="464"/>
      <c r="B3" s="464"/>
      <c r="C3" s="464"/>
      <c r="D3" s="464"/>
      <c r="E3" s="464"/>
      <c r="F3" s="464"/>
      <c r="G3" s="464"/>
      <c r="H3" s="464"/>
      <c r="I3" s="464"/>
      <c r="J3" s="464"/>
    </row>
    <row r="4" spans="1:10" ht="24.75" customHeight="1">
      <c r="A4" s="464" t="str">
        <f>"ชื่อสถานประกอบการ ........................."&amp;CompanyProfile!$C$2&amp;"............................................................................  เลขที่บัญชี ............"&amp;CompanyProfile!$C$6&amp;"...................."</f>
        <v>ชื่อสถานประกอบการ .........................หจก.ศิวะกรเซฟตี้ จำกัด............................................................................  เลขที่บัญชี ............1234567890....................</v>
      </c>
      <c r="B4" s="464"/>
      <c r="C4" s="464"/>
      <c r="D4" s="464"/>
      <c r="E4" s="464"/>
      <c r="F4" s="464"/>
      <c r="G4" s="464"/>
      <c r="H4" s="464"/>
      <c r="I4" s="464"/>
      <c r="J4" s="464"/>
    </row>
    <row r="5" spans="1:10" ht="24.75" customHeight="1">
      <c r="A5" s="464" t="s">
        <v>373</v>
      </c>
      <c r="B5" s="464"/>
      <c r="C5" s="464"/>
      <c r="D5" s="464"/>
      <c r="E5" s="464"/>
      <c r="F5" s="464"/>
      <c r="G5" s="464"/>
      <c r="H5" s="464"/>
      <c r="I5" s="464"/>
      <c r="J5" s="464"/>
    </row>
    <row r="6" spans="1:10" ht="24.75" customHeight="1">
      <c r="A6" s="464" t="s">
        <v>374</v>
      </c>
      <c r="B6" s="464"/>
      <c r="C6" s="464"/>
      <c r="D6" s="464"/>
      <c r="E6" s="464"/>
      <c r="F6" s="464"/>
      <c r="G6" s="464"/>
      <c r="H6" s="464"/>
      <c r="I6" s="464"/>
      <c r="J6" s="464"/>
    </row>
    <row r="7" spans="1:10" ht="24.75" customHeight="1">
      <c r="A7" s="464" t="s">
        <v>375</v>
      </c>
      <c r="B7" s="464"/>
      <c r="C7" s="464"/>
      <c r="D7" s="464"/>
      <c r="E7" s="466"/>
      <c r="F7" s="464"/>
      <c r="G7" s="464"/>
      <c r="H7" s="464"/>
      <c r="I7" s="464"/>
      <c r="J7" s="464"/>
    </row>
    <row r="8" spans="1:10">
      <c r="A8" s="467" t="s">
        <v>123</v>
      </c>
      <c r="B8" s="714" t="s">
        <v>188</v>
      </c>
      <c r="C8" s="714" t="s">
        <v>376</v>
      </c>
      <c r="D8" s="467" t="s">
        <v>377</v>
      </c>
      <c r="E8" s="716" t="s">
        <v>394</v>
      </c>
      <c r="F8" s="716"/>
      <c r="G8" s="716"/>
      <c r="H8" s="716"/>
      <c r="I8" s="716"/>
      <c r="J8" s="716"/>
    </row>
    <row r="9" spans="1:10">
      <c r="A9" s="471" t="s">
        <v>129</v>
      </c>
      <c r="B9" s="715"/>
      <c r="C9" s="715"/>
      <c r="D9" s="471" t="s">
        <v>395</v>
      </c>
      <c r="E9" s="471">
        <v>1</v>
      </c>
      <c r="F9" s="471">
        <v>2</v>
      </c>
      <c r="G9" s="471">
        <v>3</v>
      </c>
      <c r="H9" s="471">
        <v>4</v>
      </c>
      <c r="I9" s="471">
        <v>5</v>
      </c>
      <c r="J9" s="471">
        <v>6</v>
      </c>
    </row>
    <row r="10" spans="1:10" ht="22.5" customHeight="1">
      <c r="A10" s="474">
        <v>1</v>
      </c>
      <c r="B10" s="475">
        <v>1234567890123</v>
      </c>
      <c r="C10" s="476" t="s">
        <v>535</v>
      </c>
      <c r="D10" s="490">
        <v>41334</v>
      </c>
      <c r="E10" s="474" t="s">
        <v>536</v>
      </c>
      <c r="F10" s="476"/>
      <c r="G10" s="476"/>
      <c r="H10" s="476"/>
      <c r="I10" s="476"/>
      <c r="J10" s="476"/>
    </row>
    <row r="11" spans="1:10" ht="22.5" customHeight="1">
      <c r="A11" s="480">
        <v>2</v>
      </c>
      <c r="B11" s="481">
        <v>1234567890123</v>
      </c>
      <c r="C11" s="482" t="s">
        <v>501</v>
      </c>
      <c r="D11" s="483">
        <v>41335</v>
      </c>
      <c r="E11" s="480" t="s">
        <v>536</v>
      </c>
      <c r="F11" s="482"/>
      <c r="G11" s="482"/>
      <c r="H11" s="482"/>
      <c r="I11" s="482"/>
      <c r="J11" s="482"/>
    </row>
    <row r="12" spans="1:10" ht="22.5" customHeight="1">
      <c r="A12" s="480">
        <v>3</v>
      </c>
      <c r="B12" s="481">
        <v>1234567890123</v>
      </c>
      <c r="C12" s="482" t="s">
        <v>537</v>
      </c>
      <c r="D12" s="483">
        <v>41336</v>
      </c>
      <c r="E12" s="480" t="s">
        <v>536</v>
      </c>
      <c r="F12" s="482"/>
      <c r="G12" s="482"/>
      <c r="H12" s="482"/>
      <c r="I12" s="482"/>
      <c r="J12" s="482"/>
    </row>
    <row r="13" spans="1:10" ht="22.5" customHeight="1">
      <c r="A13" s="480">
        <v>4</v>
      </c>
      <c r="B13" s="481">
        <v>1234567890123</v>
      </c>
      <c r="C13" s="482" t="s">
        <v>522</v>
      </c>
      <c r="D13" s="483">
        <v>41337</v>
      </c>
      <c r="E13" s="480" t="s">
        <v>536</v>
      </c>
      <c r="F13" s="482"/>
      <c r="G13" s="482"/>
      <c r="H13" s="482"/>
      <c r="I13" s="482"/>
      <c r="J13" s="482"/>
    </row>
    <row r="14" spans="1:10" ht="22.5" customHeight="1">
      <c r="A14" s="480">
        <v>5</v>
      </c>
      <c r="B14" s="481">
        <v>1234567890123</v>
      </c>
      <c r="C14" s="482" t="s">
        <v>502</v>
      </c>
      <c r="D14" s="483">
        <v>41338</v>
      </c>
      <c r="E14" s="480" t="s">
        <v>536</v>
      </c>
      <c r="F14" s="482"/>
      <c r="G14" s="482"/>
      <c r="H14" s="482"/>
      <c r="I14" s="482"/>
      <c r="J14" s="482"/>
    </row>
    <row r="15" spans="1:10" ht="22.5" customHeight="1">
      <c r="A15" s="480">
        <v>6</v>
      </c>
      <c r="B15" s="481">
        <v>1234567890123</v>
      </c>
      <c r="C15" s="482" t="s">
        <v>484</v>
      </c>
      <c r="D15" s="483">
        <v>41339</v>
      </c>
      <c r="E15" s="480" t="s">
        <v>536</v>
      </c>
      <c r="F15" s="482"/>
      <c r="G15" s="482"/>
      <c r="H15" s="482"/>
      <c r="I15" s="482"/>
      <c r="J15" s="482"/>
    </row>
    <row r="16" spans="1:10" ht="22.5" customHeight="1">
      <c r="A16" s="491">
        <v>7</v>
      </c>
      <c r="B16" s="492">
        <v>1234567890123</v>
      </c>
      <c r="C16" s="493" t="s">
        <v>485</v>
      </c>
      <c r="D16" s="488">
        <v>41340</v>
      </c>
      <c r="E16" s="491" t="s">
        <v>536</v>
      </c>
      <c r="F16" s="493"/>
      <c r="G16" s="493"/>
      <c r="H16" s="493"/>
      <c r="I16" s="493"/>
      <c r="J16" s="493"/>
    </row>
    <row r="17" spans="1:10">
      <c r="A17" s="464"/>
      <c r="B17" s="464"/>
      <c r="C17" s="464"/>
      <c r="D17" s="464"/>
      <c r="E17" s="464"/>
      <c r="F17" s="464"/>
      <c r="G17" s="464"/>
      <c r="H17" s="464"/>
      <c r="I17" s="464"/>
      <c r="J17" s="464"/>
    </row>
    <row r="18" spans="1:10">
      <c r="A18" s="464" t="s">
        <v>43</v>
      </c>
      <c r="B18" s="464" t="s">
        <v>383</v>
      </c>
      <c r="C18" s="464" t="s">
        <v>396</v>
      </c>
      <c r="D18" s="464"/>
      <c r="E18" s="464"/>
      <c r="F18" s="464"/>
      <c r="G18" s="494" t="s">
        <v>397</v>
      </c>
      <c r="H18" s="464"/>
      <c r="I18" s="464"/>
      <c r="J18" s="464"/>
    </row>
    <row r="19" spans="1:10">
      <c r="A19" s="464"/>
      <c r="B19" s="464" t="s">
        <v>385</v>
      </c>
      <c r="C19" s="464"/>
      <c r="D19" s="464"/>
      <c r="E19" s="464"/>
      <c r="F19" s="464" t="s">
        <v>398</v>
      </c>
      <c r="G19" s="464"/>
      <c r="H19" s="464"/>
      <c r="I19" s="464"/>
      <c r="J19" s="464"/>
    </row>
    <row r="20" spans="1:10">
      <c r="A20" s="464"/>
      <c r="B20" s="464"/>
      <c r="C20" s="464"/>
      <c r="D20" s="464"/>
      <c r="E20" s="464"/>
      <c r="F20" s="464" t="s">
        <v>399</v>
      </c>
      <c r="G20" s="464"/>
      <c r="H20" s="464"/>
      <c r="I20" s="464"/>
      <c r="J20" s="464"/>
    </row>
    <row r="21" spans="1:10">
      <c r="A21" s="464"/>
      <c r="B21" s="464" t="s">
        <v>400</v>
      </c>
      <c r="C21" s="464" t="s">
        <v>401</v>
      </c>
      <c r="D21" s="464"/>
      <c r="E21" s="464"/>
      <c r="F21" s="464" t="s">
        <v>402</v>
      </c>
      <c r="G21" s="464"/>
      <c r="H21" s="464"/>
      <c r="I21" s="464"/>
      <c r="J21" s="464"/>
    </row>
    <row r="22" spans="1:10">
      <c r="A22" s="464"/>
      <c r="B22" s="464" t="s">
        <v>403</v>
      </c>
      <c r="C22" s="464" t="s">
        <v>512</v>
      </c>
      <c r="D22" s="464"/>
      <c r="E22" s="464"/>
      <c r="F22" s="464" t="s">
        <v>404</v>
      </c>
      <c r="G22" s="464"/>
      <c r="H22" s="464"/>
      <c r="I22" s="464"/>
      <c r="J22" s="464"/>
    </row>
    <row r="23" spans="1:10">
      <c r="A23" s="464"/>
      <c r="B23" s="464" t="s">
        <v>405</v>
      </c>
      <c r="C23" s="464" t="s">
        <v>516</v>
      </c>
      <c r="D23" s="464"/>
      <c r="E23" s="464"/>
      <c r="F23" s="464" t="s">
        <v>406</v>
      </c>
      <c r="G23" s="464"/>
      <c r="H23" s="464"/>
      <c r="I23" s="464"/>
      <c r="J23" s="464"/>
    </row>
    <row r="24" spans="1:10">
      <c r="A24" s="464"/>
      <c r="B24" s="464" t="s">
        <v>407</v>
      </c>
      <c r="C24" s="464" t="s">
        <v>408</v>
      </c>
      <c r="D24" s="464"/>
      <c r="E24" s="464"/>
      <c r="F24" s="464" t="s">
        <v>409</v>
      </c>
      <c r="G24" s="464"/>
      <c r="H24" s="464"/>
      <c r="I24" s="464"/>
      <c r="J24" s="464"/>
    </row>
    <row r="25" spans="1:10">
      <c r="A25" s="464"/>
      <c r="B25" s="464" t="s">
        <v>410</v>
      </c>
      <c r="C25" s="464"/>
      <c r="D25" s="464"/>
      <c r="E25" s="464"/>
      <c r="F25" s="464" t="s">
        <v>411</v>
      </c>
      <c r="G25" s="464"/>
      <c r="H25" s="464"/>
      <c r="I25" s="464"/>
      <c r="J25" s="464"/>
    </row>
    <row r="26" spans="1:10">
      <c r="A26" s="464"/>
      <c r="B26" s="464"/>
      <c r="C26" s="464"/>
      <c r="D26" s="464"/>
      <c r="E26" s="464"/>
      <c r="F26" s="464"/>
      <c r="G26" s="464"/>
      <c r="H26" s="464"/>
      <c r="I26" s="479" t="s">
        <v>392</v>
      </c>
      <c r="J26" s="464"/>
    </row>
    <row r="27" spans="1:10" ht="24.75" customHeight="1">
      <c r="A27" s="717" t="s">
        <v>393</v>
      </c>
      <c r="B27" s="717"/>
      <c r="C27" s="717"/>
      <c r="D27" s="717"/>
      <c r="E27" s="717"/>
      <c r="F27" s="717"/>
      <c r="G27" s="717"/>
      <c r="H27" s="717"/>
      <c r="I27" s="717"/>
      <c r="J27" s="717"/>
    </row>
    <row r="28" spans="1:10">
      <c r="A28" s="464"/>
      <c r="B28" s="464"/>
      <c r="C28" s="464"/>
      <c r="D28" s="464"/>
      <c r="E28" s="464"/>
      <c r="F28" s="464"/>
      <c r="G28" s="464"/>
      <c r="H28" s="464"/>
      <c r="I28" s="464"/>
      <c r="J28" s="464"/>
    </row>
    <row r="29" spans="1:10" ht="24.75" customHeight="1">
      <c r="A29" s="464" t="str">
        <f>"ชื่อสถานประกอบการ ........................."&amp;CompanyProfile!$C$2&amp;"............................................................................  เลขที่บัญชี ............"&amp;CompanyProfile!$C$6&amp;"...................."</f>
        <v>ชื่อสถานประกอบการ .........................หจก.ศิวะกรเซฟตี้ จำกัด............................................................................  เลขที่บัญชี ............1234567890....................</v>
      </c>
      <c r="B29" s="464"/>
      <c r="C29" s="464"/>
      <c r="D29" s="464"/>
      <c r="E29" s="464"/>
      <c r="F29" s="464"/>
      <c r="G29" s="464"/>
      <c r="H29" s="464"/>
      <c r="I29" s="464"/>
      <c r="J29" s="464"/>
    </row>
    <row r="30" spans="1:10" ht="24.75" customHeight="1">
      <c r="A30" s="464" t="s">
        <v>373</v>
      </c>
      <c r="B30" s="464"/>
      <c r="C30" s="464"/>
      <c r="D30" s="464"/>
      <c r="E30" s="464"/>
      <c r="F30" s="464"/>
      <c r="G30" s="464"/>
      <c r="H30" s="464"/>
      <c r="I30" s="464"/>
      <c r="J30" s="464"/>
    </row>
    <row r="31" spans="1:10" ht="24.75" customHeight="1">
      <c r="A31" s="464" t="s">
        <v>374</v>
      </c>
      <c r="B31" s="464"/>
      <c r="C31" s="464"/>
      <c r="D31" s="464"/>
      <c r="E31" s="464"/>
      <c r="F31" s="464"/>
      <c r="G31" s="464"/>
      <c r="H31" s="464"/>
      <c r="I31" s="464"/>
      <c r="J31" s="464"/>
    </row>
    <row r="32" spans="1:10" ht="24.75" customHeight="1">
      <c r="A32" s="464" t="s">
        <v>375</v>
      </c>
      <c r="B32" s="464"/>
      <c r="C32" s="464"/>
      <c r="D32" s="464"/>
      <c r="E32" s="466"/>
      <c r="F32" s="464"/>
      <c r="G32" s="464"/>
      <c r="H32" s="464"/>
      <c r="I32" s="464"/>
      <c r="J32" s="464"/>
    </row>
    <row r="33" spans="1:10">
      <c r="A33" s="467" t="s">
        <v>123</v>
      </c>
      <c r="B33" s="714" t="s">
        <v>188</v>
      </c>
      <c r="C33" s="714" t="s">
        <v>376</v>
      </c>
      <c r="D33" s="467" t="s">
        <v>377</v>
      </c>
      <c r="E33" s="716" t="s">
        <v>394</v>
      </c>
      <c r="F33" s="716"/>
      <c r="G33" s="716"/>
      <c r="H33" s="716"/>
      <c r="I33" s="716"/>
      <c r="J33" s="716"/>
    </row>
    <row r="34" spans="1:10">
      <c r="A34" s="471" t="s">
        <v>129</v>
      </c>
      <c r="B34" s="715"/>
      <c r="C34" s="715"/>
      <c r="D34" s="471" t="s">
        <v>395</v>
      </c>
      <c r="E34" s="471">
        <v>1</v>
      </c>
      <c r="F34" s="471">
        <v>2</v>
      </c>
      <c r="G34" s="471">
        <v>3</v>
      </c>
      <c r="H34" s="471">
        <v>4</v>
      </c>
      <c r="I34" s="471">
        <v>5</v>
      </c>
      <c r="J34" s="471">
        <v>6</v>
      </c>
    </row>
    <row r="35" spans="1:10" ht="22.5" customHeight="1">
      <c r="A35" s="474">
        <v>8</v>
      </c>
      <c r="B35" s="475">
        <v>1234567890123</v>
      </c>
      <c r="C35" s="476" t="s">
        <v>503</v>
      </c>
      <c r="D35" s="490">
        <v>41341</v>
      </c>
      <c r="E35" s="474" t="s">
        <v>536</v>
      </c>
      <c r="F35" s="476"/>
      <c r="G35" s="476"/>
      <c r="H35" s="476"/>
      <c r="I35" s="476"/>
      <c r="J35" s="476"/>
    </row>
    <row r="36" spans="1:10" ht="22.5" customHeight="1">
      <c r="A36" s="480">
        <v>9</v>
      </c>
      <c r="B36" s="481">
        <v>1234567890123</v>
      </c>
      <c r="C36" s="482" t="s">
        <v>486</v>
      </c>
      <c r="D36" s="483">
        <v>41342</v>
      </c>
      <c r="E36" s="480" t="s">
        <v>536</v>
      </c>
      <c r="F36" s="482"/>
      <c r="G36" s="482"/>
      <c r="H36" s="482"/>
      <c r="I36" s="482"/>
      <c r="J36" s="482"/>
    </row>
    <row r="37" spans="1:10" ht="22.5" customHeight="1">
      <c r="A37" s="480">
        <v>10</v>
      </c>
      <c r="B37" s="481">
        <v>1234567890123</v>
      </c>
      <c r="C37" s="482" t="s">
        <v>487</v>
      </c>
      <c r="D37" s="483">
        <v>41343</v>
      </c>
      <c r="E37" s="480" t="s">
        <v>536</v>
      </c>
      <c r="F37" s="482"/>
      <c r="G37" s="482"/>
      <c r="H37" s="482"/>
      <c r="I37" s="482"/>
      <c r="J37" s="482"/>
    </row>
    <row r="38" spans="1:10" ht="22.5" customHeight="1">
      <c r="A38" s="480"/>
      <c r="B38" s="481"/>
      <c r="C38" s="482"/>
      <c r="D38" s="483"/>
      <c r="E38" s="480"/>
      <c r="F38" s="482"/>
      <c r="G38" s="482"/>
      <c r="H38" s="482"/>
      <c r="I38" s="482"/>
      <c r="J38" s="482"/>
    </row>
    <row r="39" spans="1:10" ht="22.5" customHeight="1">
      <c r="A39" s="480"/>
      <c r="B39" s="481"/>
      <c r="C39" s="482"/>
      <c r="D39" s="483"/>
      <c r="E39" s="480"/>
      <c r="F39" s="482"/>
      <c r="G39" s="482"/>
      <c r="H39" s="482"/>
      <c r="I39" s="482"/>
      <c r="J39" s="482"/>
    </row>
    <row r="40" spans="1:10" ht="22.5" customHeight="1">
      <c r="A40" s="480"/>
      <c r="B40" s="481"/>
      <c r="C40" s="482"/>
      <c r="D40" s="483"/>
      <c r="E40" s="480"/>
      <c r="F40" s="482"/>
      <c r="G40" s="482"/>
      <c r="H40" s="482"/>
      <c r="I40" s="482"/>
      <c r="J40" s="482"/>
    </row>
    <row r="41" spans="1:10" ht="22.5" customHeight="1">
      <c r="A41" s="491"/>
      <c r="B41" s="492"/>
      <c r="C41" s="493"/>
      <c r="D41" s="488"/>
      <c r="E41" s="491"/>
      <c r="F41" s="493"/>
      <c r="G41" s="493"/>
      <c r="H41" s="493"/>
      <c r="I41" s="493"/>
      <c r="J41" s="493"/>
    </row>
    <row r="42" spans="1:10">
      <c r="A42" s="464"/>
      <c r="B42" s="464"/>
      <c r="C42" s="464"/>
      <c r="D42" s="464"/>
      <c r="E42" s="464"/>
      <c r="F42" s="464"/>
      <c r="G42" s="464"/>
      <c r="H42" s="464"/>
      <c r="I42" s="464"/>
      <c r="J42" s="464"/>
    </row>
    <row r="43" spans="1:10">
      <c r="A43" s="464" t="s">
        <v>43</v>
      </c>
      <c r="B43" s="464" t="s">
        <v>383</v>
      </c>
      <c r="C43" s="464" t="s">
        <v>396</v>
      </c>
      <c r="D43" s="464"/>
      <c r="E43" s="464"/>
      <c r="F43" s="464"/>
      <c r="G43" s="494" t="s">
        <v>397</v>
      </c>
      <c r="H43" s="464"/>
      <c r="I43" s="464"/>
      <c r="J43" s="464"/>
    </row>
    <row r="44" spans="1:10">
      <c r="A44" s="464"/>
      <c r="B44" s="464" t="s">
        <v>385</v>
      </c>
      <c r="C44" s="464"/>
      <c r="D44" s="464"/>
      <c r="E44" s="464"/>
      <c r="F44" s="464" t="s">
        <v>398</v>
      </c>
      <c r="G44" s="464"/>
      <c r="H44" s="464"/>
      <c r="I44" s="464"/>
      <c r="J44" s="464"/>
    </row>
    <row r="45" spans="1:10">
      <c r="A45" s="464"/>
      <c r="B45" s="464"/>
      <c r="C45" s="464"/>
      <c r="D45" s="464"/>
      <c r="E45" s="464"/>
      <c r="F45" s="464" t="s">
        <v>399</v>
      </c>
      <c r="G45" s="464"/>
      <c r="H45" s="464"/>
      <c r="I45" s="464"/>
      <c r="J45" s="464"/>
    </row>
    <row r="46" spans="1:10">
      <c r="A46" s="464"/>
      <c r="B46" s="464" t="s">
        <v>400</v>
      </c>
      <c r="C46" s="464" t="s">
        <v>401</v>
      </c>
      <c r="D46" s="464"/>
      <c r="E46" s="464"/>
      <c r="F46" s="464" t="s">
        <v>402</v>
      </c>
      <c r="G46" s="464"/>
      <c r="H46" s="464"/>
      <c r="I46" s="464"/>
      <c r="J46" s="464"/>
    </row>
    <row r="47" spans="1:10">
      <c r="A47" s="464"/>
      <c r="B47" s="464" t="s">
        <v>403</v>
      </c>
      <c r="C47" s="464" t="s">
        <v>512</v>
      </c>
      <c r="D47" s="464"/>
      <c r="E47" s="464"/>
      <c r="F47" s="464" t="s">
        <v>404</v>
      </c>
      <c r="G47" s="464"/>
      <c r="H47" s="464"/>
      <c r="I47" s="464"/>
      <c r="J47" s="464"/>
    </row>
    <row r="48" spans="1:10">
      <c r="A48" s="464"/>
      <c r="B48" s="464" t="s">
        <v>405</v>
      </c>
      <c r="C48" s="464" t="s">
        <v>516</v>
      </c>
      <c r="D48" s="464"/>
      <c r="E48" s="464"/>
      <c r="F48" s="464" t="s">
        <v>406</v>
      </c>
      <c r="G48" s="464"/>
      <c r="H48" s="464"/>
      <c r="I48" s="464"/>
      <c r="J48" s="464"/>
    </row>
    <row r="49" spans="1:10">
      <c r="A49" s="464"/>
      <c r="B49" s="464" t="s">
        <v>407</v>
      </c>
      <c r="C49" s="464" t="s">
        <v>408</v>
      </c>
      <c r="D49" s="464"/>
      <c r="E49" s="464"/>
      <c r="F49" s="464" t="s">
        <v>409</v>
      </c>
      <c r="G49" s="464"/>
      <c r="H49" s="464"/>
      <c r="I49" s="464"/>
      <c r="J49" s="464"/>
    </row>
    <row r="50" spans="1:10">
      <c r="A50" s="464"/>
      <c r="B50" s="464" t="s">
        <v>410</v>
      </c>
      <c r="C50" s="464"/>
      <c r="D50" s="464"/>
      <c r="E50" s="464"/>
      <c r="F50" s="464" t="s">
        <v>411</v>
      </c>
      <c r="G50" s="464"/>
      <c r="H50" s="464"/>
      <c r="I50" s="464"/>
      <c r="J50" s="464"/>
    </row>
    <row r="52" spans="1:10" ht="24.75" customHeight="1"/>
    <row r="54" spans="1:10" ht="24.75" customHeight="1"/>
    <row r="55" spans="1:10" ht="24.75" customHeight="1"/>
    <row r="56" spans="1:10" ht="24.75" customHeight="1"/>
    <row r="57" spans="1:10" ht="24.75" customHeight="1"/>
    <row r="60" spans="1:10" ht="22.5" customHeight="1"/>
    <row r="61" spans="1:10" ht="22.5" customHeight="1"/>
    <row r="62" spans="1:10" ht="22.5" customHeight="1"/>
    <row r="63" spans="1:10" ht="22.5" customHeight="1"/>
    <row r="64" spans="1:10" ht="22.5" customHeight="1"/>
    <row r="65" ht="22.5" customHeight="1"/>
    <row r="66" ht="22.5" customHeight="1"/>
    <row r="77" ht="24.75" customHeight="1"/>
    <row r="79" ht="24.75" customHeight="1"/>
    <row r="80" ht="24.75" customHeight="1"/>
    <row r="81" ht="24.75" customHeight="1"/>
    <row r="82" ht="24.7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102" ht="24.75" customHeight="1"/>
    <row r="104" ht="24.75" customHeight="1"/>
    <row r="105" ht="24.75" customHeight="1"/>
    <row r="106" ht="24.75" customHeight="1"/>
    <row r="107" ht="24.7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27" ht="24.75" customHeight="1"/>
    <row r="129" ht="24.75" customHeight="1"/>
    <row r="130" ht="24.75" customHeight="1"/>
    <row r="131" ht="24.75" customHeight="1"/>
    <row r="132" ht="24.7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</sheetData>
  <mergeCells count="8">
    <mergeCell ref="A27:J27"/>
    <mergeCell ref="B33:B34"/>
    <mergeCell ref="C33:C34"/>
    <mergeCell ref="E33:J33"/>
    <mergeCell ref="A2:J2"/>
    <mergeCell ref="E8:J8"/>
    <mergeCell ref="B8:B9"/>
    <mergeCell ref="C8:C9"/>
  </mergeCells>
  <phoneticPr fontId="61" type="noConversion"/>
  <printOptions horizontalCentered="1"/>
  <pageMargins left="0.27559055118110237" right="0.19685039370078741" top="0.55118110236220474" bottom="0.35433070866141736" header="0.35433070866141736" footer="0.15748031496062992"/>
  <pageSetup paperSize="9" orientation="landscape" r:id="rId1"/>
  <headerFooter alignWithMargins="0"/>
  <rowBreaks count="1" manualBreakCount="1">
    <brk id="2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22111" enableFormatConditionsCalculation="0">
    <tabColor indexed="12"/>
  </sheetPr>
  <dimension ref="A1:AH35"/>
  <sheetViews>
    <sheetView workbookViewId="0">
      <pane ySplit="5" topLeftCell="A6" activePane="bottomLeft" state="frozen"/>
      <selection activeCell="F5" sqref="F5"/>
      <selection pane="bottomLeft" activeCell="A2" sqref="A2"/>
    </sheetView>
  </sheetViews>
  <sheetFormatPr defaultRowHeight="21"/>
  <cols>
    <col min="1" max="1" width="7.42578125" style="174" customWidth="1"/>
    <col min="2" max="2" width="9.42578125" style="175" customWidth="1"/>
    <col min="3" max="3" width="5.85546875" style="175" bestFit="1" customWidth="1"/>
    <col min="4" max="4" width="8.5703125" style="177" customWidth="1"/>
    <col min="5" max="5" width="15.7109375" style="177" bestFit="1" customWidth="1"/>
    <col min="6" max="6" width="12.42578125" style="176" bestFit="1" customWidth="1"/>
    <col min="7" max="7" width="11.5703125" style="176" bestFit="1" customWidth="1"/>
    <col min="8" max="8" width="11.85546875" style="176" customWidth="1"/>
    <col min="9" max="10" width="10.7109375" style="176" customWidth="1"/>
    <col min="11" max="11" width="10.140625" style="176" customWidth="1"/>
    <col min="12" max="12" width="13.42578125" style="176" customWidth="1"/>
    <col min="13" max="13" width="14.28515625" style="176" bestFit="1" customWidth="1"/>
    <col min="14" max="14" width="11.7109375" style="176" customWidth="1"/>
    <col min="15" max="18" width="10.5703125" style="176" customWidth="1"/>
    <col min="19" max="19" width="10.5703125" style="177" customWidth="1"/>
    <col min="20" max="20" width="11.85546875" style="176" bestFit="1" customWidth="1"/>
    <col min="21" max="16384" width="9.140625" style="177"/>
  </cols>
  <sheetData>
    <row r="1" spans="1:34" s="141" customFormat="1" ht="14.25">
      <c r="A1" s="139" t="str">
        <f>CompanyProfile!$C$2</f>
        <v>หจก.ศิวะกรเซฟตี้ จำกัด</v>
      </c>
      <c r="B1" s="140"/>
      <c r="C1" s="140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T1" s="142"/>
    </row>
    <row r="2" spans="1:34" s="141" customFormat="1" ht="14.25">
      <c r="A2" s="143" t="str">
        <f>"ยอดสะสมรายละเอียดประกอบการจ่ายเงินเดือน  ตั้งแต่ มกราคม - "&amp;(TEXT(T2,"ดดดด"))&amp;" พ.ศ."&amp;(TEXT(T2,"bbbb"))</f>
        <v>ยอดสะสมรายละเอียดประกอบการจ่ายเงินเดือน  ตั้งแต่ มกราคม - มีนาคม พ.ศ.2556</v>
      </c>
      <c r="B2" s="140"/>
      <c r="C2" s="140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4"/>
      <c r="T2" s="144">
        <v>41348</v>
      </c>
    </row>
    <row r="3" spans="1:34" s="133" customFormat="1" ht="15" customHeight="1" thickBot="1">
      <c r="A3" s="355"/>
      <c r="B3" s="356"/>
      <c r="C3" s="689" t="s">
        <v>198</v>
      </c>
      <c r="D3" s="690"/>
      <c r="E3" s="691"/>
      <c r="F3" s="357">
        <f t="shared" ref="F3:T3" si="0">SUM(F6:F24)</f>
        <v>450000</v>
      </c>
      <c r="G3" s="357">
        <f t="shared" si="0"/>
        <v>3812.5</v>
      </c>
      <c r="H3" s="357">
        <f t="shared" si="0"/>
        <v>7500</v>
      </c>
      <c r="I3" s="357">
        <f t="shared" si="0"/>
        <v>4500</v>
      </c>
      <c r="J3" s="357">
        <f t="shared" si="0"/>
        <v>7500</v>
      </c>
      <c r="K3" s="357">
        <f t="shared" si="0"/>
        <v>10500</v>
      </c>
      <c r="L3" s="357">
        <f t="shared" si="0"/>
        <v>13500</v>
      </c>
      <c r="M3" s="357">
        <f t="shared" si="0"/>
        <v>16500</v>
      </c>
      <c r="N3" s="557">
        <f t="shared" si="0"/>
        <v>513812.5</v>
      </c>
      <c r="O3" s="357">
        <f t="shared" si="0"/>
        <v>87513</v>
      </c>
      <c r="P3" s="357">
        <f t="shared" si="0"/>
        <v>1500</v>
      </c>
      <c r="Q3" s="357">
        <f t="shared" si="0"/>
        <v>0</v>
      </c>
      <c r="R3" s="357">
        <f t="shared" si="0"/>
        <v>0</v>
      </c>
      <c r="S3" s="357">
        <f t="shared" si="0"/>
        <v>89013</v>
      </c>
      <c r="T3" s="557">
        <f t="shared" si="0"/>
        <v>424799.5</v>
      </c>
      <c r="U3" s="132"/>
      <c r="V3" s="132"/>
      <c r="W3" s="132"/>
      <c r="X3" s="132"/>
      <c r="Y3" s="132"/>
      <c r="Z3" s="132"/>
      <c r="AA3" s="132"/>
      <c r="AB3" s="132"/>
      <c r="AE3" s="141"/>
      <c r="AF3" s="141"/>
      <c r="AG3" s="141"/>
    </row>
    <row r="4" spans="1:34" s="156" customFormat="1" ht="18" customHeight="1" thickTop="1">
      <c r="A4" s="147" t="s">
        <v>123</v>
      </c>
      <c r="B4" s="148" t="s">
        <v>180</v>
      </c>
      <c r="C4" s="149" t="s">
        <v>185</v>
      </c>
      <c r="D4" s="150" t="s">
        <v>80</v>
      </c>
      <c r="E4" s="151" t="s">
        <v>184</v>
      </c>
      <c r="F4" s="556" t="s">
        <v>178</v>
      </c>
      <c r="G4" s="556"/>
      <c r="H4" s="556"/>
      <c r="I4" s="556"/>
      <c r="J4" s="556"/>
      <c r="K4" s="556"/>
      <c r="L4" s="556"/>
      <c r="M4" s="556"/>
      <c r="N4" s="556"/>
      <c r="O4" s="153" t="s">
        <v>179</v>
      </c>
      <c r="P4" s="153"/>
      <c r="Q4" s="153"/>
      <c r="R4" s="153"/>
      <c r="S4" s="554"/>
      <c r="T4" s="555" t="s">
        <v>56</v>
      </c>
      <c r="U4" s="155"/>
      <c r="V4" s="155"/>
      <c r="W4" s="155"/>
      <c r="X4" s="155"/>
      <c r="Y4" s="155"/>
      <c r="Z4" s="155"/>
      <c r="AA4" s="155"/>
      <c r="AB4" s="155"/>
      <c r="AC4" s="157"/>
      <c r="AD4" s="157"/>
      <c r="AE4" s="141"/>
      <c r="AF4" s="141"/>
      <c r="AG4" s="141"/>
      <c r="AH4" s="157"/>
    </row>
    <row r="5" spans="1:34" s="214" customFormat="1" ht="14.25">
      <c r="A5" s="158" t="s">
        <v>129</v>
      </c>
      <c r="B5" s="159" t="s">
        <v>514</v>
      </c>
      <c r="C5" s="160" t="s">
        <v>186</v>
      </c>
      <c r="D5" s="161"/>
      <c r="E5" s="162"/>
      <c r="F5" s="678" t="s">
        <v>321</v>
      </c>
      <c r="G5" s="679" t="s">
        <v>51</v>
      </c>
      <c r="H5" s="679" t="s">
        <v>425</v>
      </c>
      <c r="I5" s="679" t="s">
        <v>426</v>
      </c>
      <c r="J5" s="679" t="s">
        <v>454</v>
      </c>
      <c r="K5" s="679" t="s">
        <v>455</v>
      </c>
      <c r="L5" s="679" t="s">
        <v>369</v>
      </c>
      <c r="M5" s="679" t="s">
        <v>55</v>
      </c>
      <c r="N5" s="707" t="s">
        <v>60</v>
      </c>
      <c r="O5" s="707" t="s">
        <v>181</v>
      </c>
      <c r="P5" s="707" t="s">
        <v>58</v>
      </c>
      <c r="Q5" s="707" t="s">
        <v>183</v>
      </c>
      <c r="R5" s="679" t="s">
        <v>55</v>
      </c>
      <c r="S5" s="707" t="s">
        <v>322</v>
      </c>
      <c r="T5" s="321"/>
      <c r="U5" s="213"/>
      <c r="V5" s="213"/>
      <c r="W5" s="213"/>
      <c r="X5" s="213"/>
      <c r="Y5" s="213"/>
      <c r="Z5" s="213"/>
      <c r="AA5" s="213"/>
      <c r="AB5" s="213"/>
      <c r="AE5" s="141"/>
      <c r="AF5" s="141"/>
      <c r="AG5" s="141"/>
    </row>
    <row r="6" spans="1:34" s="133" customFormat="1" ht="11.25" customHeight="1">
      <c r="A6" s="123">
        <v>1</v>
      </c>
      <c r="B6" s="124" t="s">
        <v>556</v>
      </c>
      <c r="C6" s="212" t="s">
        <v>427</v>
      </c>
      <c r="D6" s="126" t="s">
        <v>549</v>
      </c>
      <c r="E6" s="127" t="s">
        <v>550</v>
      </c>
      <c r="F6" s="128">
        <v>450000</v>
      </c>
      <c r="G6" s="129">
        <v>3812.5</v>
      </c>
      <c r="H6" s="130">
        <v>7500</v>
      </c>
      <c r="I6" s="130">
        <v>4500</v>
      </c>
      <c r="J6" s="129">
        <v>7500</v>
      </c>
      <c r="K6" s="130">
        <v>10500</v>
      </c>
      <c r="L6" s="130">
        <v>13500</v>
      </c>
      <c r="M6" s="130">
        <v>16500</v>
      </c>
      <c r="N6" s="130">
        <v>513812.5</v>
      </c>
      <c r="O6" s="130">
        <v>87513</v>
      </c>
      <c r="P6" s="130">
        <v>1500</v>
      </c>
      <c r="Q6" s="130">
        <v>0</v>
      </c>
      <c r="R6" s="130">
        <v>0</v>
      </c>
      <c r="S6" s="132">
        <v>89013</v>
      </c>
      <c r="T6" s="130">
        <v>424799.5</v>
      </c>
      <c r="AE6" s="141"/>
      <c r="AF6" s="141"/>
      <c r="AG6" s="141"/>
    </row>
    <row r="7" spans="1:34" s="133" customFormat="1" ht="11.25" customHeight="1">
      <c r="A7" s="123">
        <v>2</v>
      </c>
      <c r="B7" s="124"/>
      <c r="C7" s="125"/>
      <c r="D7" s="126"/>
      <c r="E7" s="127"/>
      <c r="F7" s="128"/>
      <c r="G7" s="129"/>
      <c r="H7" s="130"/>
      <c r="I7" s="130"/>
      <c r="J7" s="129"/>
      <c r="K7" s="130"/>
      <c r="L7" s="130"/>
      <c r="M7" s="130"/>
      <c r="N7" s="130"/>
      <c r="O7" s="130"/>
      <c r="P7" s="130"/>
      <c r="Q7" s="130"/>
      <c r="R7" s="130"/>
      <c r="S7" s="132"/>
      <c r="T7" s="130"/>
      <c r="AE7" s="141"/>
      <c r="AF7" s="141"/>
      <c r="AG7" s="141"/>
    </row>
    <row r="8" spans="1:34" s="133" customFormat="1" ht="11.25" customHeight="1">
      <c r="A8" s="123">
        <v>3</v>
      </c>
      <c r="B8" s="124"/>
      <c r="C8" s="125"/>
      <c r="D8" s="126"/>
      <c r="E8" s="127"/>
      <c r="F8" s="128"/>
      <c r="G8" s="129"/>
      <c r="H8" s="130"/>
      <c r="I8" s="130"/>
      <c r="J8" s="129"/>
      <c r="K8" s="130"/>
      <c r="L8" s="130"/>
      <c r="M8" s="130"/>
      <c r="N8" s="130"/>
      <c r="O8" s="130"/>
      <c r="P8" s="130"/>
      <c r="Q8" s="130"/>
      <c r="R8" s="130"/>
      <c r="S8" s="132"/>
      <c r="T8" s="130"/>
      <c r="AE8" s="141"/>
      <c r="AF8" s="141"/>
      <c r="AG8" s="141"/>
    </row>
    <row r="9" spans="1:34" s="133" customFormat="1" ht="11.25" customHeight="1">
      <c r="A9" s="123">
        <v>4</v>
      </c>
      <c r="B9" s="124"/>
      <c r="C9" s="125"/>
      <c r="D9" s="126"/>
      <c r="E9" s="127"/>
      <c r="F9" s="128"/>
      <c r="G9" s="129"/>
      <c r="H9" s="130"/>
      <c r="I9" s="130"/>
      <c r="J9" s="129"/>
      <c r="K9" s="130"/>
      <c r="L9" s="130"/>
      <c r="M9" s="130"/>
      <c r="N9" s="130"/>
      <c r="O9" s="130"/>
      <c r="P9" s="130"/>
      <c r="Q9" s="130"/>
      <c r="R9" s="130"/>
      <c r="S9" s="132"/>
      <c r="T9" s="130"/>
      <c r="AE9" s="141"/>
      <c r="AF9" s="141"/>
      <c r="AG9" s="141"/>
    </row>
    <row r="10" spans="1:34" s="133" customFormat="1" ht="11.25" customHeight="1">
      <c r="A10" s="123">
        <v>5</v>
      </c>
      <c r="B10" s="124"/>
      <c r="C10" s="125"/>
      <c r="D10" s="126"/>
      <c r="E10" s="127"/>
      <c r="F10" s="128"/>
      <c r="G10" s="129"/>
      <c r="H10" s="130"/>
      <c r="I10" s="130"/>
      <c r="J10" s="129"/>
      <c r="K10" s="130"/>
      <c r="L10" s="130"/>
      <c r="M10" s="130"/>
      <c r="N10" s="130"/>
      <c r="O10" s="130"/>
      <c r="P10" s="130"/>
      <c r="Q10" s="130"/>
      <c r="R10" s="130"/>
      <c r="S10" s="132"/>
      <c r="T10" s="130"/>
      <c r="AE10" s="141"/>
      <c r="AF10" s="141"/>
      <c r="AG10" s="141"/>
    </row>
    <row r="11" spans="1:34" s="133" customFormat="1" ht="11.25" customHeight="1">
      <c r="A11" s="123">
        <v>6</v>
      </c>
      <c r="B11" s="124"/>
      <c r="C11" s="125"/>
      <c r="D11" s="126"/>
      <c r="E11" s="127"/>
      <c r="F11" s="128"/>
      <c r="G11" s="129"/>
      <c r="H11" s="130"/>
      <c r="I11" s="130"/>
      <c r="J11" s="129"/>
      <c r="K11" s="130"/>
      <c r="L11" s="130"/>
      <c r="M11" s="130"/>
      <c r="N11" s="130"/>
      <c r="O11" s="130"/>
      <c r="P11" s="130"/>
      <c r="Q11" s="130"/>
      <c r="R11" s="130"/>
      <c r="S11" s="132"/>
      <c r="T11" s="130"/>
      <c r="AE11" s="141"/>
      <c r="AF11" s="141"/>
      <c r="AG11" s="141"/>
    </row>
    <row r="12" spans="1:34" s="133" customFormat="1" ht="11.25" customHeight="1">
      <c r="A12" s="123">
        <v>7</v>
      </c>
      <c r="B12" s="124"/>
      <c r="C12" s="125"/>
      <c r="D12" s="126"/>
      <c r="E12" s="127"/>
      <c r="F12" s="128"/>
      <c r="G12" s="129"/>
      <c r="H12" s="130"/>
      <c r="I12" s="130"/>
      <c r="J12" s="129"/>
      <c r="K12" s="130"/>
      <c r="L12" s="130"/>
      <c r="M12" s="130"/>
      <c r="N12" s="130"/>
      <c r="O12" s="130"/>
      <c r="P12" s="130"/>
      <c r="Q12" s="130"/>
      <c r="R12" s="130"/>
      <c r="S12" s="132"/>
      <c r="T12" s="130"/>
      <c r="AE12" s="141"/>
      <c r="AF12" s="141"/>
      <c r="AG12" s="141"/>
    </row>
    <row r="13" spans="1:34" s="133" customFormat="1" ht="11.25" customHeight="1">
      <c r="A13" s="123">
        <v>8</v>
      </c>
      <c r="B13" s="124"/>
      <c r="C13" s="212"/>
      <c r="D13" s="126"/>
      <c r="E13" s="127"/>
      <c r="F13" s="128"/>
      <c r="G13" s="129"/>
      <c r="H13" s="130"/>
      <c r="I13" s="130"/>
      <c r="J13" s="129"/>
      <c r="K13" s="130"/>
      <c r="L13" s="130"/>
      <c r="M13" s="130"/>
      <c r="N13" s="130"/>
      <c r="O13" s="130"/>
      <c r="P13" s="130"/>
      <c r="Q13" s="130"/>
      <c r="R13" s="130"/>
      <c r="S13" s="132"/>
      <c r="T13" s="130"/>
      <c r="AE13" s="141"/>
      <c r="AF13" s="141"/>
      <c r="AG13" s="141"/>
    </row>
    <row r="14" spans="1:34" s="133" customFormat="1" ht="11.25" customHeight="1">
      <c r="A14" s="123">
        <v>9</v>
      </c>
      <c r="B14" s="124"/>
      <c r="C14" s="125"/>
      <c r="D14" s="126"/>
      <c r="E14" s="127"/>
      <c r="F14" s="128"/>
      <c r="G14" s="129"/>
      <c r="H14" s="130"/>
      <c r="I14" s="130"/>
      <c r="J14" s="129"/>
      <c r="K14" s="130"/>
      <c r="L14" s="130"/>
      <c r="M14" s="130"/>
      <c r="N14" s="130"/>
      <c r="O14" s="130"/>
      <c r="P14" s="130"/>
      <c r="Q14" s="130"/>
      <c r="R14" s="130"/>
      <c r="S14" s="132"/>
      <c r="T14" s="130"/>
    </row>
    <row r="15" spans="1:34" s="133" customFormat="1" ht="11.25" customHeight="1">
      <c r="A15" s="123">
        <v>10</v>
      </c>
      <c r="B15" s="124"/>
      <c r="C15" s="125"/>
      <c r="D15" s="126"/>
      <c r="E15" s="127"/>
      <c r="F15" s="128"/>
      <c r="G15" s="129"/>
      <c r="H15" s="130"/>
      <c r="I15" s="130"/>
      <c r="J15" s="129"/>
      <c r="K15" s="130"/>
      <c r="L15" s="130"/>
      <c r="M15" s="130"/>
      <c r="N15" s="130"/>
      <c r="O15" s="130"/>
      <c r="P15" s="130"/>
      <c r="Q15" s="130"/>
      <c r="R15" s="130"/>
      <c r="S15" s="132"/>
      <c r="T15" s="130"/>
    </row>
    <row r="16" spans="1:34" s="133" customFormat="1" ht="11.25" customHeight="1">
      <c r="A16" s="123">
        <v>11</v>
      </c>
      <c r="B16" s="124"/>
      <c r="C16" s="125"/>
      <c r="D16" s="126"/>
      <c r="E16" s="127"/>
      <c r="F16" s="128"/>
      <c r="G16" s="129"/>
      <c r="H16" s="130"/>
      <c r="I16" s="130"/>
      <c r="J16" s="129"/>
      <c r="K16" s="130"/>
      <c r="L16" s="130"/>
      <c r="M16" s="130"/>
      <c r="N16" s="130"/>
      <c r="O16" s="130"/>
      <c r="P16" s="130"/>
      <c r="Q16" s="130"/>
      <c r="R16" s="130"/>
      <c r="S16" s="132"/>
      <c r="T16" s="130"/>
    </row>
    <row r="17" spans="1:20" s="133" customFormat="1" ht="11.25" customHeight="1">
      <c r="A17" s="123">
        <v>12</v>
      </c>
      <c r="B17" s="124"/>
      <c r="C17" s="212"/>
      <c r="D17" s="126"/>
      <c r="E17" s="127"/>
      <c r="F17" s="128"/>
      <c r="G17" s="129"/>
      <c r="H17" s="130"/>
      <c r="I17" s="130"/>
      <c r="J17" s="129"/>
      <c r="K17" s="130"/>
      <c r="L17" s="130"/>
      <c r="M17" s="130"/>
      <c r="N17" s="130"/>
      <c r="O17" s="130"/>
      <c r="P17" s="130"/>
      <c r="Q17" s="130"/>
      <c r="R17" s="130"/>
      <c r="S17" s="132"/>
      <c r="T17" s="130"/>
    </row>
    <row r="18" spans="1:20" s="133" customFormat="1" ht="11.25" customHeight="1">
      <c r="A18" s="123">
        <v>13</v>
      </c>
      <c r="B18" s="124"/>
      <c r="C18" s="125"/>
      <c r="D18" s="126"/>
      <c r="E18" s="127"/>
      <c r="F18" s="128"/>
      <c r="G18" s="129"/>
      <c r="H18" s="130"/>
      <c r="I18" s="130"/>
      <c r="J18" s="129"/>
      <c r="K18" s="130"/>
      <c r="L18" s="130"/>
      <c r="M18" s="130"/>
      <c r="N18" s="130"/>
      <c r="O18" s="130"/>
      <c r="P18" s="130"/>
      <c r="Q18" s="130"/>
      <c r="R18" s="130"/>
      <c r="S18" s="132"/>
      <c r="T18" s="130"/>
    </row>
    <row r="19" spans="1:20" s="133" customFormat="1" ht="11.25" customHeight="1">
      <c r="A19" s="123">
        <v>14</v>
      </c>
      <c r="B19" s="124"/>
      <c r="C19" s="125"/>
      <c r="D19" s="126"/>
      <c r="E19" s="127"/>
      <c r="F19" s="128"/>
      <c r="G19" s="129"/>
      <c r="H19" s="130"/>
      <c r="I19" s="130"/>
      <c r="J19" s="129"/>
      <c r="K19" s="130"/>
      <c r="L19" s="130"/>
      <c r="M19" s="130"/>
      <c r="N19" s="130"/>
      <c r="O19" s="130"/>
      <c r="P19" s="130"/>
      <c r="Q19" s="130"/>
      <c r="R19" s="130"/>
      <c r="S19" s="132"/>
      <c r="T19" s="130"/>
    </row>
    <row r="20" spans="1:20" s="133" customFormat="1" ht="11.25" customHeight="1">
      <c r="A20" s="123">
        <v>15</v>
      </c>
      <c r="B20" s="124"/>
      <c r="C20" s="125"/>
      <c r="D20" s="126"/>
      <c r="E20" s="127"/>
      <c r="F20" s="128"/>
      <c r="G20" s="129"/>
      <c r="H20" s="130"/>
      <c r="I20" s="130"/>
      <c r="J20" s="129"/>
      <c r="K20" s="130"/>
      <c r="L20" s="130"/>
      <c r="M20" s="130"/>
      <c r="N20" s="130"/>
      <c r="O20" s="130"/>
      <c r="P20" s="130"/>
      <c r="Q20" s="130"/>
      <c r="R20" s="130"/>
      <c r="S20" s="132"/>
      <c r="T20" s="130"/>
    </row>
    <row r="21" spans="1:20" s="133" customFormat="1" ht="11.25" customHeight="1">
      <c r="A21" s="123">
        <v>16</v>
      </c>
      <c r="B21" s="124"/>
      <c r="C21" s="125"/>
      <c r="D21" s="126"/>
      <c r="E21" s="127"/>
      <c r="F21" s="128"/>
      <c r="G21" s="129"/>
      <c r="H21" s="130"/>
      <c r="I21" s="130"/>
      <c r="J21" s="129"/>
      <c r="K21" s="130"/>
      <c r="L21" s="130"/>
      <c r="M21" s="130"/>
      <c r="N21" s="130"/>
      <c r="O21" s="130"/>
      <c r="P21" s="130"/>
      <c r="Q21" s="130"/>
      <c r="R21" s="130"/>
      <c r="S21" s="132"/>
      <c r="T21" s="130"/>
    </row>
    <row r="22" spans="1:20" s="133" customFormat="1" ht="11.25" customHeight="1">
      <c r="A22" s="123">
        <v>17</v>
      </c>
      <c r="B22" s="124"/>
      <c r="C22" s="125"/>
      <c r="D22" s="126"/>
      <c r="E22" s="127"/>
      <c r="F22" s="128"/>
      <c r="G22" s="129"/>
      <c r="H22" s="130"/>
      <c r="I22" s="130"/>
      <c r="J22" s="129"/>
      <c r="K22" s="130"/>
      <c r="L22" s="130"/>
      <c r="M22" s="130"/>
      <c r="N22" s="130"/>
      <c r="O22" s="130"/>
      <c r="P22" s="130"/>
      <c r="Q22" s="130"/>
      <c r="R22" s="130"/>
      <c r="S22" s="132"/>
      <c r="T22" s="130"/>
    </row>
    <row r="23" spans="1:20" s="133" customFormat="1" ht="11.25" customHeight="1">
      <c r="A23" s="123">
        <v>18</v>
      </c>
      <c r="B23" s="124"/>
      <c r="C23" s="125"/>
      <c r="D23" s="126"/>
      <c r="E23" s="127"/>
      <c r="F23" s="128"/>
      <c r="G23" s="129"/>
      <c r="H23" s="130"/>
      <c r="I23" s="130"/>
      <c r="J23" s="129"/>
      <c r="K23" s="130"/>
      <c r="L23" s="130"/>
      <c r="M23" s="130"/>
      <c r="N23" s="130"/>
      <c r="O23" s="130"/>
      <c r="P23" s="130"/>
      <c r="Q23" s="130"/>
      <c r="R23" s="130"/>
      <c r="S23" s="132"/>
      <c r="T23" s="130"/>
    </row>
    <row r="24" spans="1:20" s="133" customFormat="1" ht="11.25" customHeight="1">
      <c r="A24" s="123">
        <v>19</v>
      </c>
      <c r="B24" s="124"/>
      <c r="C24" s="125"/>
      <c r="D24" s="126"/>
      <c r="E24" s="127"/>
      <c r="F24" s="128"/>
      <c r="G24" s="129"/>
      <c r="H24" s="130"/>
      <c r="I24" s="130"/>
      <c r="J24" s="129"/>
      <c r="K24" s="130"/>
      <c r="L24" s="130"/>
      <c r="M24" s="130"/>
      <c r="N24" s="130"/>
      <c r="O24" s="130"/>
      <c r="P24" s="130"/>
      <c r="Q24" s="130"/>
      <c r="R24" s="130"/>
      <c r="S24" s="132"/>
      <c r="T24" s="130"/>
    </row>
    <row r="25" spans="1:20" s="133" customFormat="1" ht="11.25" customHeight="1">
      <c r="A25" s="123"/>
      <c r="B25" s="124"/>
      <c r="C25" s="125"/>
      <c r="D25" s="126"/>
      <c r="E25" s="127"/>
      <c r="F25" s="128"/>
      <c r="G25" s="129"/>
      <c r="H25" s="130"/>
      <c r="I25" s="130"/>
      <c r="J25" s="129"/>
      <c r="K25" s="130"/>
      <c r="L25" s="130"/>
      <c r="M25" s="130"/>
      <c r="N25" s="130"/>
      <c r="O25" s="130"/>
      <c r="P25" s="130"/>
      <c r="Q25" s="130"/>
      <c r="R25" s="130"/>
      <c r="S25" s="132"/>
      <c r="T25" s="130"/>
    </row>
    <row r="26" spans="1:20" s="133" customFormat="1" ht="11.25" customHeight="1">
      <c r="A26" s="123"/>
      <c r="B26" s="124"/>
      <c r="C26" s="125"/>
      <c r="D26" s="126"/>
      <c r="E26" s="127"/>
      <c r="F26" s="128"/>
      <c r="G26" s="129"/>
      <c r="H26" s="130"/>
      <c r="I26" s="130"/>
      <c r="J26" s="129"/>
      <c r="K26" s="130"/>
      <c r="L26" s="130"/>
      <c r="M26" s="130"/>
      <c r="N26" s="130"/>
      <c r="O26" s="130"/>
      <c r="P26" s="130"/>
      <c r="Q26" s="130"/>
      <c r="R26" s="130"/>
      <c r="S26" s="132"/>
      <c r="T26" s="130"/>
    </row>
    <row r="27" spans="1:20" s="133" customFormat="1" ht="11.25" customHeight="1">
      <c r="A27" s="123"/>
      <c r="B27" s="124"/>
      <c r="C27" s="125"/>
      <c r="D27" s="126"/>
      <c r="E27" s="127"/>
      <c r="F27" s="128"/>
      <c r="G27" s="129"/>
      <c r="H27" s="130"/>
      <c r="I27" s="130"/>
      <c r="J27" s="129"/>
      <c r="K27" s="130"/>
      <c r="L27" s="130"/>
      <c r="M27" s="130"/>
      <c r="N27" s="130"/>
      <c r="O27" s="130"/>
      <c r="P27" s="130"/>
      <c r="Q27" s="130"/>
      <c r="R27" s="130"/>
      <c r="S27" s="132"/>
      <c r="T27" s="130"/>
    </row>
    <row r="28" spans="1:20" s="133" customFormat="1" ht="11.25" customHeight="1">
      <c r="A28" s="123"/>
      <c r="B28" s="124"/>
      <c r="C28" s="125"/>
      <c r="D28" s="126"/>
      <c r="E28" s="127"/>
      <c r="F28" s="128"/>
      <c r="G28" s="129"/>
      <c r="H28" s="130"/>
      <c r="I28" s="130"/>
      <c r="J28" s="129"/>
      <c r="K28" s="130"/>
      <c r="L28" s="130"/>
      <c r="M28" s="130"/>
      <c r="N28" s="130"/>
      <c r="O28" s="130"/>
      <c r="P28" s="130"/>
      <c r="Q28" s="130"/>
      <c r="R28" s="130"/>
      <c r="S28" s="132"/>
      <c r="T28" s="130"/>
    </row>
    <row r="29" spans="1:20" s="133" customFormat="1" ht="11.25" customHeight="1">
      <c r="A29" s="123"/>
      <c r="B29" s="124"/>
      <c r="C29" s="125"/>
      <c r="D29" s="126"/>
      <c r="E29" s="127"/>
      <c r="F29" s="128"/>
      <c r="G29" s="129"/>
      <c r="H29" s="130"/>
      <c r="I29" s="130"/>
      <c r="J29" s="129"/>
      <c r="K29" s="130"/>
      <c r="L29" s="130"/>
      <c r="M29" s="130"/>
      <c r="N29" s="130"/>
      <c r="O29" s="130"/>
      <c r="P29" s="130"/>
      <c r="Q29" s="130"/>
      <c r="R29" s="130"/>
      <c r="S29" s="132"/>
      <c r="T29" s="130"/>
    </row>
    <row r="30" spans="1:20" s="133" customFormat="1" ht="11.25" customHeight="1">
      <c r="A30" s="123"/>
      <c r="B30" s="124"/>
      <c r="C30" s="125"/>
      <c r="D30" s="126"/>
      <c r="E30" s="127"/>
      <c r="F30" s="128"/>
      <c r="G30" s="129"/>
      <c r="H30" s="130"/>
      <c r="I30" s="130"/>
      <c r="J30" s="129"/>
      <c r="K30" s="130"/>
      <c r="L30" s="130"/>
      <c r="M30" s="130"/>
      <c r="N30" s="130"/>
      <c r="O30" s="130"/>
      <c r="P30" s="130"/>
      <c r="Q30" s="130"/>
      <c r="R30" s="130"/>
      <c r="S30" s="132"/>
      <c r="T30" s="130"/>
    </row>
    <row r="31" spans="1:20" s="133" customFormat="1" ht="11.25" customHeight="1">
      <c r="A31" s="123"/>
      <c r="B31" s="124"/>
      <c r="C31" s="125"/>
      <c r="D31" s="126"/>
      <c r="E31" s="127"/>
      <c r="F31" s="128"/>
      <c r="G31" s="129"/>
      <c r="H31" s="130"/>
      <c r="I31" s="130"/>
      <c r="J31" s="129"/>
      <c r="K31" s="130"/>
      <c r="L31" s="130"/>
      <c r="M31" s="130"/>
      <c r="N31" s="130"/>
      <c r="O31" s="130"/>
      <c r="P31" s="130"/>
      <c r="Q31" s="130"/>
      <c r="R31" s="130"/>
      <c r="S31" s="132"/>
      <c r="T31" s="130"/>
    </row>
    <row r="32" spans="1:20" s="133" customFormat="1" ht="11.25" customHeight="1">
      <c r="A32" s="123"/>
      <c r="B32" s="124"/>
      <c r="C32" s="125"/>
      <c r="D32" s="126"/>
      <c r="E32" s="127"/>
      <c r="F32" s="128"/>
      <c r="G32" s="129"/>
      <c r="H32" s="130"/>
      <c r="I32" s="130"/>
      <c r="J32" s="129"/>
      <c r="K32" s="130"/>
      <c r="L32" s="130"/>
      <c r="M32" s="130"/>
      <c r="N32" s="130"/>
      <c r="O32" s="130"/>
      <c r="P32" s="130"/>
      <c r="Q32" s="130"/>
      <c r="R32" s="130"/>
      <c r="S32" s="132"/>
      <c r="T32" s="130"/>
    </row>
    <row r="33" spans="1:20" s="133" customFormat="1" ht="11.25" customHeight="1">
      <c r="A33" s="123"/>
      <c r="B33" s="124"/>
      <c r="C33" s="125"/>
      <c r="D33" s="126"/>
      <c r="E33" s="127"/>
      <c r="F33" s="128"/>
      <c r="G33" s="129"/>
      <c r="H33" s="130"/>
      <c r="I33" s="130"/>
      <c r="J33" s="129"/>
      <c r="K33" s="130"/>
      <c r="L33" s="130"/>
      <c r="M33" s="130"/>
      <c r="N33" s="130"/>
      <c r="O33" s="130"/>
      <c r="P33" s="130"/>
      <c r="Q33" s="130"/>
      <c r="R33" s="130"/>
      <c r="S33" s="132"/>
      <c r="T33" s="130"/>
    </row>
    <row r="34" spans="1:20" s="133" customFormat="1" ht="11.25" customHeight="1">
      <c r="A34" s="123"/>
      <c r="B34" s="124"/>
      <c r="C34" s="125"/>
      <c r="D34" s="126"/>
      <c r="E34" s="127"/>
      <c r="F34" s="128"/>
      <c r="G34" s="129"/>
      <c r="H34" s="130"/>
      <c r="I34" s="130"/>
      <c r="J34" s="129"/>
      <c r="K34" s="130"/>
      <c r="L34" s="130"/>
      <c r="M34" s="130"/>
      <c r="N34" s="130"/>
      <c r="O34" s="130"/>
      <c r="P34" s="130"/>
      <c r="Q34" s="130"/>
      <c r="R34" s="130"/>
      <c r="S34" s="132"/>
      <c r="T34" s="130"/>
    </row>
    <row r="35" spans="1:20" s="133" customFormat="1" ht="11.25" customHeight="1">
      <c r="A35" s="123"/>
      <c r="B35" s="124"/>
      <c r="C35" s="125"/>
      <c r="D35" s="126"/>
      <c r="E35" s="127"/>
      <c r="F35" s="128"/>
      <c r="G35" s="129"/>
      <c r="H35" s="130"/>
      <c r="I35" s="130"/>
      <c r="J35" s="129"/>
      <c r="K35" s="130"/>
      <c r="L35" s="130"/>
      <c r="M35" s="130"/>
      <c r="N35" s="130"/>
      <c r="O35" s="130"/>
      <c r="P35" s="130"/>
      <c r="Q35" s="130"/>
      <c r="R35" s="130"/>
      <c r="S35" s="132"/>
      <c r="T35" s="130"/>
    </row>
  </sheetData>
  <phoneticPr fontId="27" type="noConversion"/>
  <printOptions horizontalCentered="1"/>
  <pageMargins left="0.1" right="0.45" top="0.57999999999999996" bottom="0.39370078740157483" header="0.23622047244094491" footer="0"/>
  <pageSetup paperSize="9" scale="80" orientation="landscape" blackAndWhite="1" horizontalDpi="360" verticalDpi="360" r:id="rId1"/>
  <headerFooter alignWithMargins="0">
    <oddFooter>&amp;LPayroll detail&amp;RPage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32">
    <tabColor indexed="12"/>
  </sheetPr>
  <dimension ref="A1:AL30"/>
  <sheetViews>
    <sheetView workbookViewId="0">
      <selection activeCell="M40" sqref="M40"/>
    </sheetView>
  </sheetViews>
  <sheetFormatPr defaultRowHeight="21.75"/>
  <cols>
    <col min="1" max="1" width="5.140625" style="174" customWidth="1"/>
    <col min="2" max="2" width="5.85546875" style="175" customWidth="1"/>
    <col min="3" max="3" width="4.7109375" style="175" bestFit="1" customWidth="1"/>
    <col min="4" max="4" width="10.42578125" style="177" customWidth="1"/>
    <col min="5" max="5" width="15.7109375" style="177" bestFit="1" customWidth="1"/>
    <col min="6" max="6" width="11.5703125" style="176" customWidth="1"/>
    <col min="7" max="7" width="10.7109375" style="176" customWidth="1"/>
    <col min="8" max="8" width="11.28515625" style="176" customWidth="1"/>
    <col min="9" max="11" width="9.28515625" style="176" customWidth="1"/>
    <col min="12" max="12" width="10.7109375" style="176" customWidth="1"/>
    <col min="13" max="13" width="10.140625" style="176" customWidth="1"/>
    <col min="14" max="14" width="11.7109375" style="176" customWidth="1"/>
    <col min="15" max="15" width="14.28515625" style="176" bestFit="1" customWidth="1"/>
    <col min="16" max="16" width="10.5703125" style="176" bestFit="1" customWidth="1"/>
    <col min="17" max="17" width="12.140625" style="176" bestFit="1" customWidth="1"/>
    <col min="18" max="18" width="11.42578125" style="176" customWidth="1"/>
    <col min="19" max="19" width="10.7109375" style="176" customWidth="1"/>
    <col min="20" max="20" width="13.7109375" style="176" customWidth="1"/>
    <col min="21" max="21" width="10.140625" style="176" customWidth="1"/>
    <col min="22" max="28" width="5.7109375" style="176" customWidth="1"/>
    <col min="29" max="29" width="5.7109375" style="177" customWidth="1"/>
    <col min="30" max="30" width="5.7109375" customWidth="1"/>
    <col min="31" max="33" width="11.7109375" style="177" customWidth="1"/>
    <col min="34" max="34" width="9.28515625" style="177" customWidth="1"/>
    <col min="35" max="35" width="8.42578125" style="177" customWidth="1"/>
    <col min="36" max="36" width="11" style="177" customWidth="1"/>
    <col min="37" max="38" width="10.140625" style="177" customWidth="1"/>
    <col min="39" max="39" width="9.28515625" style="177" customWidth="1"/>
    <col min="40" max="16384" width="9.140625" style="177"/>
  </cols>
  <sheetData>
    <row r="1" spans="1:38" s="141" customFormat="1" ht="14.25">
      <c r="A1" s="139" t="s">
        <v>370</v>
      </c>
      <c r="B1" s="140"/>
      <c r="C1" s="140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</row>
    <row r="2" spans="1:38" s="141" customFormat="1" ht="14.25">
      <c r="A2" s="143" t="s">
        <v>545</v>
      </c>
      <c r="B2" s="140"/>
      <c r="C2" s="140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4">
        <v>41348</v>
      </c>
      <c r="U2" s="142"/>
      <c r="V2" s="142"/>
      <c r="W2" s="142"/>
      <c r="X2" s="142"/>
      <c r="Y2" s="142"/>
      <c r="Z2" s="142"/>
      <c r="AA2" s="142"/>
      <c r="AB2" s="142"/>
      <c r="AC2" s="146"/>
      <c r="AE2" s="307" t="s">
        <v>222</v>
      </c>
      <c r="AF2" s="307" t="s">
        <v>53</v>
      </c>
      <c r="AG2" s="307" t="s">
        <v>53</v>
      </c>
      <c r="AH2" s="146"/>
      <c r="AI2" s="146"/>
      <c r="AJ2" s="146"/>
      <c r="AK2" s="146"/>
      <c r="AL2" s="146"/>
    </row>
    <row r="3" spans="1:38" s="141" customFormat="1" ht="8.25" customHeight="1">
      <c r="A3" s="139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308"/>
      <c r="AF3" s="308"/>
      <c r="AG3" s="308"/>
    </row>
    <row r="4" spans="1:38" s="156" customFormat="1" ht="18" customHeight="1">
      <c r="A4" s="147" t="s">
        <v>123</v>
      </c>
      <c r="B4" s="148" t="s">
        <v>180</v>
      </c>
      <c r="C4" s="149" t="s">
        <v>185</v>
      </c>
      <c r="D4" s="150" t="s">
        <v>80</v>
      </c>
      <c r="E4" s="151" t="s">
        <v>184</v>
      </c>
      <c r="F4" s="152" t="s">
        <v>178</v>
      </c>
      <c r="G4" s="153"/>
      <c r="H4" s="153"/>
      <c r="I4" s="153"/>
      <c r="J4" s="153"/>
      <c r="K4" s="153"/>
      <c r="L4" s="153"/>
      <c r="M4" s="153"/>
      <c r="N4" s="153"/>
      <c r="O4" s="153" t="s">
        <v>179</v>
      </c>
      <c r="P4" s="153"/>
      <c r="Q4" s="153"/>
      <c r="R4" s="153"/>
      <c r="S4" s="153"/>
      <c r="T4" s="154" t="s">
        <v>56</v>
      </c>
      <c r="U4" s="155"/>
      <c r="V4" s="155"/>
      <c r="W4" s="155"/>
      <c r="X4" s="155"/>
      <c r="Y4" s="155"/>
      <c r="Z4" s="155"/>
      <c r="AA4" s="155"/>
      <c r="AB4" s="155"/>
      <c r="AC4" s="157"/>
      <c r="AE4" s="309" t="s">
        <v>223</v>
      </c>
      <c r="AF4" s="309" t="s">
        <v>311</v>
      </c>
      <c r="AG4" s="309" t="s">
        <v>311</v>
      </c>
      <c r="AH4" s="157"/>
      <c r="AI4" s="157"/>
      <c r="AJ4" s="157"/>
      <c r="AK4" s="157"/>
      <c r="AL4" s="157"/>
    </row>
    <row r="5" spans="1:38" s="214" customFormat="1" ht="11.25">
      <c r="A5" s="158" t="s">
        <v>129</v>
      </c>
      <c r="B5" s="159"/>
      <c r="C5" s="160" t="s">
        <v>186</v>
      </c>
      <c r="D5" s="161"/>
      <c r="E5" s="162"/>
      <c r="F5" s="163" t="s">
        <v>321</v>
      </c>
      <c r="G5" s="138" t="s">
        <v>51</v>
      </c>
      <c r="H5" s="138" t="s">
        <v>425</v>
      </c>
      <c r="I5" s="138" t="s">
        <v>426</v>
      </c>
      <c r="J5" s="138" t="s">
        <v>519</v>
      </c>
      <c r="K5" s="138" t="s">
        <v>455</v>
      </c>
      <c r="L5" s="138" t="s">
        <v>369</v>
      </c>
      <c r="M5" s="138" t="s">
        <v>55</v>
      </c>
      <c r="N5" s="320" t="s">
        <v>60</v>
      </c>
      <c r="O5" s="320" t="s">
        <v>181</v>
      </c>
      <c r="P5" s="320" t="s">
        <v>58</v>
      </c>
      <c r="Q5" s="320" t="s">
        <v>183</v>
      </c>
      <c r="R5" s="138" t="s">
        <v>55</v>
      </c>
      <c r="S5" s="320" t="s">
        <v>322</v>
      </c>
      <c r="T5" s="321"/>
      <c r="U5" s="213"/>
      <c r="V5" s="213"/>
      <c r="W5" s="213"/>
      <c r="X5" s="213"/>
      <c r="Y5" s="213"/>
      <c r="Z5" s="213"/>
      <c r="AA5" s="213"/>
      <c r="AB5" s="213"/>
      <c r="AE5" s="310" t="s">
        <v>58</v>
      </c>
      <c r="AF5" s="310" t="s">
        <v>222</v>
      </c>
      <c r="AG5" s="310" t="s">
        <v>312</v>
      </c>
    </row>
    <row r="6" spans="1:38" s="133" customFormat="1" ht="11.25" customHeight="1">
      <c r="A6" s="123">
        <v>1</v>
      </c>
      <c r="B6" s="202">
        <v>1001</v>
      </c>
      <c r="C6" s="200" t="s">
        <v>427</v>
      </c>
      <c r="D6" s="200" t="s">
        <v>429</v>
      </c>
      <c r="E6" s="200" t="s">
        <v>463</v>
      </c>
      <c r="F6" s="128">
        <v>150000</v>
      </c>
      <c r="G6" s="129">
        <v>1500</v>
      </c>
      <c r="H6" s="130">
        <v>2500</v>
      </c>
      <c r="I6" s="130">
        <v>1500</v>
      </c>
      <c r="J6" s="129">
        <v>2500</v>
      </c>
      <c r="K6" s="129">
        <v>3500</v>
      </c>
      <c r="L6" s="129">
        <v>4500</v>
      </c>
      <c r="M6" s="130">
        <v>5500</v>
      </c>
      <c r="N6" s="207">
        <v>171500</v>
      </c>
      <c r="O6" s="207">
        <v>24339</v>
      </c>
      <c r="P6" s="207">
        <v>600</v>
      </c>
      <c r="Q6" s="207"/>
      <c r="R6" s="130"/>
      <c r="S6" s="207">
        <v>24939</v>
      </c>
      <c r="T6" s="207">
        <v>146561</v>
      </c>
      <c r="U6" s="132"/>
      <c r="V6" s="132"/>
      <c r="W6" s="132"/>
      <c r="X6" s="132"/>
      <c r="Y6" s="132"/>
      <c r="Z6" s="132"/>
      <c r="AA6" s="132"/>
      <c r="AB6" s="132"/>
      <c r="AC6" s="132"/>
      <c r="AE6" s="207">
        <v>157500</v>
      </c>
      <c r="AF6" s="132">
        <v>22205</v>
      </c>
      <c r="AG6" s="132">
        <v>2134</v>
      </c>
    </row>
    <row r="7" spans="1:38" s="133" customFormat="1" ht="11.25" customHeight="1">
      <c r="A7" s="123">
        <v>2</v>
      </c>
      <c r="B7" s="202">
        <v>1002</v>
      </c>
      <c r="C7" s="200" t="s">
        <v>427</v>
      </c>
      <c r="D7" s="200" t="s">
        <v>430</v>
      </c>
      <c r="E7" s="200" t="s">
        <v>464</v>
      </c>
      <c r="F7" s="128">
        <v>85000</v>
      </c>
      <c r="G7" s="129">
        <v>1000</v>
      </c>
      <c r="H7" s="130">
        <v>2000</v>
      </c>
      <c r="I7" s="130">
        <v>3000</v>
      </c>
      <c r="J7" s="130">
        <v>4000</v>
      </c>
      <c r="K7" s="130">
        <v>5000</v>
      </c>
      <c r="L7" s="130">
        <v>6000</v>
      </c>
      <c r="M7" s="130">
        <v>7000</v>
      </c>
      <c r="N7" s="207">
        <v>113000</v>
      </c>
      <c r="O7" s="207">
        <v>11072</v>
      </c>
      <c r="P7" s="207">
        <v>600</v>
      </c>
      <c r="Q7" s="207"/>
      <c r="R7" s="130"/>
      <c r="S7" s="207">
        <v>11672</v>
      </c>
      <c r="T7" s="207">
        <v>101328</v>
      </c>
      <c r="U7" s="132"/>
      <c r="V7" s="132"/>
      <c r="W7" s="132"/>
      <c r="X7" s="132"/>
      <c r="Y7" s="132"/>
      <c r="Z7" s="132"/>
      <c r="AA7" s="132"/>
      <c r="AB7" s="132"/>
      <c r="AC7" s="132"/>
      <c r="AE7" s="207">
        <v>95000</v>
      </c>
      <c r="AF7" s="132">
        <v>9272</v>
      </c>
      <c r="AG7" s="132">
        <v>1800</v>
      </c>
    </row>
    <row r="8" spans="1:38" s="133" customFormat="1" ht="11.25" customHeight="1">
      <c r="A8" s="123">
        <v>3</v>
      </c>
      <c r="B8" s="202">
        <v>1003</v>
      </c>
      <c r="C8" s="200" t="s">
        <v>427</v>
      </c>
      <c r="D8" s="200" t="s">
        <v>431</v>
      </c>
      <c r="E8" s="200" t="s">
        <v>465</v>
      </c>
      <c r="F8" s="128">
        <v>12000</v>
      </c>
      <c r="G8" s="129">
        <v>0</v>
      </c>
      <c r="H8" s="130">
        <v>0</v>
      </c>
      <c r="I8" s="130"/>
      <c r="J8" s="129"/>
      <c r="K8" s="129"/>
      <c r="L8" s="129"/>
      <c r="M8" s="130"/>
      <c r="N8" s="207">
        <v>12000</v>
      </c>
      <c r="O8" s="207">
        <v>0</v>
      </c>
      <c r="P8" s="207">
        <v>480</v>
      </c>
      <c r="Q8" s="207"/>
      <c r="R8" s="130"/>
      <c r="S8" s="207">
        <v>480</v>
      </c>
      <c r="T8" s="207">
        <v>11520</v>
      </c>
      <c r="U8" s="132"/>
      <c r="V8" s="132"/>
      <c r="W8" s="132"/>
      <c r="X8" s="132"/>
      <c r="Y8" s="132"/>
      <c r="Z8" s="132"/>
      <c r="AA8" s="132"/>
      <c r="AB8" s="132"/>
      <c r="AC8" s="132"/>
      <c r="AE8" s="207">
        <v>12000</v>
      </c>
      <c r="AF8" s="132"/>
      <c r="AG8" s="132"/>
    </row>
    <row r="9" spans="1:38" s="133" customFormat="1" ht="11.25" customHeight="1">
      <c r="A9" s="123">
        <v>4</v>
      </c>
      <c r="B9" s="202">
        <v>1004</v>
      </c>
      <c r="C9" s="200" t="s">
        <v>173</v>
      </c>
      <c r="D9" s="200" t="s">
        <v>432</v>
      </c>
      <c r="E9" s="200" t="s">
        <v>466</v>
      </c>
      <c r="F9" s="128">
        <v>38896</v>
      </c>
      <c r="G9" s="129">
        <v>0</v>
      </c>
      <c r="H9" s="130"/>
      <c r="I9" s="130"/>
      <c r="J9" s="129"/>
      <c r="K9" s="129"/>
      <c r="L9" s="129"/>
      <c r="M9" s="130"/>
      <c r="N9" s="207">
        <v>38896</v>
      </c>
      <c r="O9" s="207">
        <v>1080</v>
      </c>
      <c r="P9" s="207">
        <v>600</v>
      </c>
      <c r="Q9" s="207"/>
      <c r="R9" s="130"/>
      <c r="S9" s="207">
        <v>1680</v>
      </c>
      <c r="T9" s="207">
        <v>37216</v>
      </c>
      <c r="U9" s="132"/>
      <c r="V9" s="132"/>
      <c r="W9" s="132"/>
      <c r="X9" s="132"/>
      <c r="Y9" s="132"/>
      <c r="Z9" s="132"/>
      <c r="AA9" s="132"/>
      <c r="AB9" s="132"/>
      <c r="AC9" s="132"/>
      <c r="AE9" s="207">
        <v>38896</v>
      </c>
      <c r="AF9" s="132">
        <v>1080</v>
      </c>
      <c r="AG9" s="132">
        <v>0</v>
      </c>
    </row>
    <row r="10" spans="1:38" s="133" customFormat="1" ht="11.25" customHeight="1">
      <c r="A10" s="123">
        <v>5</v>
      </c>
      <c r="B10" s="202">
        <v>1005</v>
      </c>
      <c r="C10" s="200" t="s">
        <v>427</v>
      </c>
      <c r="D10" s="200" t="s">
        <v>433</v>
      </c>
      <c r="E10" s="200" t="s">
        <v>467</v>
      </c>
      <c r="F10" s="128"/>
      <c r="G10" s="129">
        <v>0</v>
      </c>
      <c r="H10" s="130"/>
      <c r="I10" s="130"/>
      <c r="J10" s="129"/>
      <c r="K10" s="129"/>
      <c r="L10" s="129"/>
      <c r="M10" s="130"/>
      <c r="N10" s="207">
        <v>0</v>
      </c>
      <c r="O10" s="207">
        <v>0</v>
      </c>
      <c r="P10" s="207">
        <v>0</v>
      </c>
      <c r="Q10" s="207"/>
      <c r="R10" s="130"/>
      <c r="S10" s="207">
        <v>0</v>
      </c>
      <c r="T10" s="207">
        <v>0</v>
      </c>
      <c r="U10" s="132"/>
      <c r="V10" s="132"/>
      <c r="W10" s="132"/>
      <c r="X10" s="132"/>
      <c r="Y10" s="132"/>
      <c r="Z10" s="132"/>
      <c r="AA10" s="132"/>
      <c r="AB10" s="132"/>
      <c r="AC10" s="132"/>
      <c r="AE10" s="207">
        <v>0</v>
      </c>
      <c r="AF10" s="132"/>
      <c r="AG10" s="132"/>
    </row>
    <row r="11" spans="1:38" s="133" customFormat="1" ht="11.25" customHeight="1">
      <c r="A11" s="123">
        <v>6</v>
      </c>
      <c r="B11" s="202">
        <v>1006</v>
      </c>
      <c r="C11" s="200" t="s">
        <v>173</v>
      </c>
      <c r="D11" s="200" t="s">
        <v>434</v>
      </c>
      <c r="E11" s="200" t="s">
        <v>468</v>
      </c>
      <c r="F11" s="128"/>
      <c r="G11" s="129">
        <v>0</v>
      </c>
      <c r="H11" s="130"/>
      <c r="I11" s="130"/>
      <c r="J11" s="129"/>
      <c r="K11" s="129"/>
      <c r="L11" s="129"/>
      <c r="M11" s="130"/>
      <c r="N11" s="207">
        <v>0</v>
      </c>
      <c r="O11" s="207">
        <v>0</v>
      </c>
      <c r="P11" s="207">
        <v>0</v>
      </c>
      <c r="Q11" s="207"/>
      <c r="R11" s="130"/>
      <c r="S11" s="207">
        <v>0</v>
      </c>
      <c r="T11" s="207">
        <v>0</v>
      </c>
      <c r="U11" s="132"/>
      <c r="V11" s="132"/>
      <c r="W11" s="132"/>
      <c r="X11" s="132"/>
      <c r="Y11" s="132"/>
      <c r="Z11" s="132"/>
      <c r="AA11" s="132"/>
      <c r="AB11" s="132"/>
      <c r="AC11" s="132"/>
      <c r="AE11" s="207">
        <v>0</v>
      </c>
      <c r="AF11" s="132"/>
      <c r="AG11" s="132"/>
    </row>
    <row r="12" spans="1:38" s="133" customFormat="1" ht="11.25" customHeight="1">
      <c r="A12" s="123">
        <v>7</v>
      </c>
      <c r="B12" s="202">
        <v>1007</v>
      </c>
      <c r="C12" s="200" t="s">
        <v>226</v>
      </c>
      <c r="D12" s="200" t="s">
        <v>435</v>
      </c>
      <c r="E12" s="200" t="s">
        <v>469</v>
      </c>
      <c r="F12" s="128"/>
      <c r="G12" s="129">
        <v>0</v>
      </c>
      <c r="H12" s="130"/>
      <c r="I12" s="130"/>
      <c r="J12" s="129"/>
      <c r="K12" s="129"/>
      <c r="L12" s="129"/>
      <c r="M12" s="130"/>
      <c r="N12" s="207">
        <v>0</v>
      </c>
      <c r="O12" s="207">
        <v>0</v>
      </c>
      <c r="P12" s="207">
        <v>0</v>
      </c>
      <c r="Q12" s="207"/>
      <c r="R12" s="130"/>
      <c r="S12" s="207">
        <v>0</v>
      </c>
      <c r="T12" s="207">
        <v>0</v>
      </c>
      <c r="U12" s="132"/>
      <c r="V12" s="132"/>
      <c r="W12" s="132"/>
      <c r="X12" s="132"/>
      <c r="Y12" s="132"/>
      <c r="Z12" s="132"/>
      <c r="AA12" s="132"/>
      <c r="AB12" s="132"/>
      <c r="AC12" s="132"/>
      <c r="AE12" s="207">
        <v>0</v>
      </c>
      <c r="AF12" s="132"/>
      <c r="AG12" s="132"/>
    </row>
    <row r="13" spans="1:38" s="133" customFormat="1" ht="11.25" customHeight="1">
      <c r="A13" s="123">
        <v>8</v>
      </c>
      <c r="B13" s="202">
        <v>1008</v>
      </c>
      <c r="C13" s="200" t="s">
        <v>173</v>
      </c>
      <c r="D13" s="200" t="s">
        <v>436</v>
      </c>
      <c r="E13" s="200" t="s">
        <v>470</v>
      </c>
      <c r="F13" s="128">
        <v>6000</v>
      </c>
      <c r="G13" s="129">
        <v>0</v>
      </c>
      <c r="H13" s="130"/>
      <c r="I13" s="130"/>
      <c r="J13" s="129"/>
      <c r="K13" s="129"/>
      <c r="L13" s="129"/>
      <c r="M13" s="130"/>
      <c r="N13" s="207">
        <v>6000</v>
      </c>
      <c r="O13" s="207">
        <v>0</v>
      </c>
      <c r="P13" s="207">
        <v>240</v>
      </c>
      <c r="Q13" s="207"/>
      <c r="R13" s="130"/>
      <c r="S13" s="207">
        <v>240</v>
      </c>
      <c r="T13" s="207">
        <v>5760</v>
      </c>
      <c r="U13" s="132"/>
      <c r="V13" s="132"/>
      <c r="W13" s="132"/>
      <c r="X13" s="132"/>
      <c r="Y13" s="132"/>
      <c r="Z13" s="132"/>
      <c r="AA13" s="132"/>
      <c r="AB13" s="132"/>
      <c r="AC13" s="132"/>
      <c r="AE13" s="207">
        <v>6000</v>
      </c>
      <c r="AF13" s="132"/>
      <c r="AG13" s="132"/>
    </row>
    <row r="14" spans="1:38" s="133" customFormat="1" ht="11.25" customHeight="1">
      <c r="A14" s="123">
        <v>9</v>
      </c>
      <c r="B14" s="202">
        <v>1009</v>
      </c>
      <c r="C14" s="200" t="s">
        <v>226</v>
      </c>
      <c r="D14" s="200" t="s">
        <v>437</v>
      </c>
      <c r="E14" s="200" t="s">
        <v>471</v>
      </c>
      <c r="F14" s="128"/>
      <c r="G14" s="129">
        <v>0</v>
      </c>
      <c r="H14" s="130"/>
      <c r="I14" s="130"/>
      <c r="J14" s="129"/>
      <c r="K14" s="129"/>
      <c r="L14" s="129"/>
      <c r="M14" s="130"/>
      <c r="N14" s="207">
        <v>0</v>
      </c>
      <c r="O14" s="207">
        <v>0</v>
      </c>
      <c r="P14" s="207">
        <v>0</v>
      </c>
      <c r="Q14" s="207"/>
      <c r="R14" s="130"/>
      <c r="S14" s="207">
        <v>0</v>
      </c>
      <c r="T14" s="207">
        <v>0</v>
      </c>
      <c r="U14" s="132"/>
      <c r="V14" s="132"/>
      <c r="W14" s="132"/>
      <c r="X14" s="132"/>
      <c r="Y14" s="132"/>
      <c r="Z14" s="132"/>
      <c r="AA14" s="132"/>
      <c r="AB14" s="132"/>
      <c r="AC14" s="132"/>
      <c r="AE14" s="207">
        <v>0</v>
      </c>
      <c r="AF14" s="132"/>
      <c r="AG14" s="132"/>
    </row>
    <row r="15" spans="1:38" s="133" customFormat="1" ht="11.25" customHeight="1">
      <c r="A15" s="123">
        <v>10</v>
      </c>
      <c r="B15" s="202">
        <v>1010</v>
      </c>
      <c r="C15" s="200" t="s">
        <v>427</v>
      </c>
      <c r="D15" s="200" t="s">
        <v>438</v>
      </c>
      <c r="E15" s="200" t="s">
        <v>472</v>
      </c>
      <c r="F15" s="128">
        <v>32760</v>
      </c>
      <c r="G15" s="128">
        <v>850</v>
      </c>
      <c r="H15" s="130">
        <v>3000</v>
      </c>
      <c r="I15" s="130">
        <v>1500</v>
      </c>
      <c r="J15" s="129">
        <v>2500</v>
      </c>
      <c r="K15" s="129">
        <v>7850</v>
      </c>
      <c r="L15" s="129"/>
      <c r="M15" s="130"/>
      <c r="N15" s="207">
        <v>48460</v>
      </c>
      <c r="O15" s="207">
        <v>2045</v>
      </c>
      <c r="P15" s="207">
        <v>600</v>
      </c>
      <c r="Q15" s="207"/>
      <c r="R15" s="130"/>
      <c r="S15" s="207">
        <v>2645</v>
      </c>
      <c r="T15" s="207">
        <v>45815</v>
      </c>
      <c r="U15" s="132"/>
      <c r="V15" s="132"/>
      <c r="W15" s="132"/>
      <c r="X15" s="132"/>
      <c r="Y15" s="132"/>
      <c r="Z15" s="132"/>
      <c r="AA15" s="132"/>
      <c r="AB15" s="132"/>
      <c r="AC15" s="132"/>
      <c r="AE15" s="207">
        <v>45110</v>
      </c>
      <c r="AF15" s="132">
        <v>1710</v>
      </c>
      <c r="AG15" s="132">
        <v>335</v>
      </c>
    </row>
    <row r="16" spans="1:38" s="133" customFormat="1" ht="11.25" customHeight="1">
      <c r="A16" s="123">
        <v>11</v>
      </c>
      <c r="B16" s="202">
        <v>1011</v>
      </c>
      <c r="C16" s="200" t="s">
        <v>427</v>
      </c>
      <c r="D16" s="200" t="s">
        <v>439</v>
      </c>
      <c r="E16" s="200" t="s">
        <v>473</v>
      </c>
      <c r="F16" s="128">
        <v>7554</v>
      </c>
      <c r="G16" s="129">
        <v>0</v>
      </c>
      <c r="H16" s="130"/>
      <c r="I16" s="130"/>
      <c r="J16" s="129"/>
      <c r="K16" s="129"/>
      <c r="L16" s="129"/>
      <c r="M16" s="130"/>
      <c r="N16" s="207">
        <v>7554</v>
      </c>
      <c r="O16" s="207">
        <v>0</v>
      </c>
      <c r="P16" s="207">
        <v>302</v>
      </c>
      <c r="Q16" s="207"/>
      <c r="R16" s="130"/>
      <c r="S16" s="207">
        <v>302</v>
      </c>
      <c r="T16" s="207">
        <v>7252</v>
      </c>
      <c r="U16" s="132"/>
      <c r="V16" s="132"/>
      <c r="W16" s="132"/>
      <c r="X16" s="132"/>
      <c r="Y16" s="132"/>
      <c r="Z16" s="132"/>
      <c r="AA16" s="132"/>
      <c r="AB16" s="132"/>
      <c r="AC16" s="132"/>
      <c r="AE16" s="207">
        <v>7554</v>
      </c>
      <c r="AF16" s="132"/>
      <c r="AG16" s="132"/>
    </row>
    <row r="17" spans="1:33" s="133" customFormat="1" ht="11.25" customHeight="1">
      <c r="A17" s="123">
        <v>12</v>
      </c>
      <c r="B17" s="202">
        <v>1012</v>
      </c>
      <c r="C17" s="200" t="s">
        <v>173</v>
      </c>
      <c r="D17" s="200" t="s">
        <v>440</v>
      </c>
      <c r="E17" s="200" t="s">
        <v>474</v>
      </c>
      <c r="F17" s="128">
        <v>28000</v>
      </c>
      <c r="G17" s="129">
        <v>0</v>
      </c>
      <c r="H17" s="130"/>
      <c r="I17" s="130"/>
      <c r="J17" s="130">
        <v>1500</v>
      </c>
      <c r="K17" s="130">
        <v>1500</v>
      </c>
      <c r="L17" s="129"/>
      <c r="M17" s="130"/>
      <c r="N17" s="207">
        <v>31000</v>
      </c>
      <c r="O17" s="207">
        <v>280</v>
      </c>
      <c r="P17" s="207">
        <v>600</v>
      </c>
      <c r="Q17" s="207"/>
      <c r="R17" s="130"/>
      <c r="S17" s="207">
        <v>880</v>
      </c>
      <c r="T17" s="207">
        <v>30120</v>
      </c>
      <c r="U17" s="132"/>
      <c r="V17" s="132"/>
      <c r="W17" s="132"/>
      <c r="X17" s="132"/>
      <c r="Y17" s="132"/>
      <c r="Z17" s="132"/>
      <c r="AA17" s="132"/>
      <c r="AB17" s="132"/>
      <c r="AC17" s="132"/>
      <c r="AE17" s="207">
        <v>29500</v>
      </c>
      <c r="AF17" s="132">
        <v>355</v>
      </c>
      <c r="AG17" s="132">
        <v>-75</v>
      </c>
    </row>
    <row r="18" spans="1:33" s="133" customFormat="1" ht="11.25" customHeight="1">
      <c r="A18" s="123">
        <v>13</v>
      </c>
      <c r="B18" s="202">
        <v>1013</v>
      </c>
      <c r="C18" s="200" t="s">
        <v>173</v>
      </c>
      <c r="D18" s="200" t="s">
        <v>441</v>
      </c>
      <c r="E18" s="200" t="s">
        <v>475</v>
      </c>
      <c r="F18" s="128">
        <v>17000</v>
      </c>
      <c r="G18" s="129">
        <v>0</v>
      </c>
      <c r="H18" s="130"/>
      <c r="I18" s="130"/>
      <c r="J18" s="130">
        <v>1500</v>
      </c>
      <c r="K18" s="130">
        <v>1500</v>
      </c>
      <c r="L18" s="129"/>
      <c r="M18" s="130"/>
      <c r="N18" s="207">
        <v>20000</v>
      </c>
      <c r="O18" s="207">
        <v>0</v>
      </c>
      <c r="P18" s="207">
        <v>600</v>
      </c>
      <c r="Q18" s="207"/>
      <c r="R18" s="130"/>
      <c r="S18" s="207">
        <v>600</v>
      </c>
      <c r="T18" s="207">
        <v>19400</v>
      </c>
      <c r="U18" s="132"/>
      <c r="V18" s="132"/>
      <c r="W18" s="132"/>
      <c r="X18" s="132"/>
      <c r="Y18" s="132"/>
      <c r="Z18" s="132"/>
      <c r="AA18" s="132"/>
      <c r="AB18" s="132"/>
      <c r="AC18" s="132"/>
      <c r="AE18" s="207">
        <v>18500</v>
      </c>
      <c r="AF18" s="132"/>
      <c r="AG18" s="132"/>
    </row>
    <row r="19" spans="1:33" s="133" customFormat="1" ht="11.25" customHeight="1">
      <c r="A19" s="123">
        <v>14</v>
      </c>
      <c r="B19" s="202">
        <v>1014</v>
      </c>
      <c r="C19" s="200" t="s">
        <v>427</v>
      </c>
      <c r="D19" s="200" t="s">
        <v>442</v>
      </c>
      <c r="E19" s="200" t="s">
        <v>476</v>
      </c>
      <c r="F19" s="128">
        <v>15000</v>
      </c>
      <c r="G19" s="128">
        <v>7554</v>
      </c>
      <c r="H19" s="130"/>
      <c r="I19" s="130"/>
      <c r="J19" s="129"/>
      <c r="K19" s="129"/>
      <c r="L19" s="129"/>
      <c r="M19" s="130"/>
      <c r="N19" s="207">
        <v>22554</v>
      </c>
      <c r="O19" s="207">
        <v>0</v>
      </c>
      <c r="P19" s="207">
        <v>600</v>
      </c>
      <c r="Q19" s="207"/>
      <c r="R19" s="130"/>
      <c r="S19" s="207">
        <v>600</v>
      </c>
      <c r="T19" s="207">
        <v>21954</v>
      </c>
      <c r="U19" s="132"/>
      <c r="V19" s="132"/>
      <c r="W19" s="132"/>
      <c r="X19" s="132"/>
      <c r="Y19" s="132"/>
      <c r="Z19" s="132"/>
      <c r="AA19" s="132"/>
      <c r="AB19" s="132"/>
      <c r="AC19" s="132"/>
      <c r="AE19" s="207">
        <v>15000</v>
      </c>
      <c r="AF19" s="132"/>
      <c r="AG19" s="132"/>
    </row>
    <row r="20" spans="1:33" s="133" customFormat="1" ht="11.25" customHeight="1">
      <c r="A20" s="123">
        <v>15</v>
      </c>
      <c r="B20" s="202">
        <v>1015</v>
      </c>
      <c r="C20" s="200" t="s">
        <v>173</v>
      </c>
      <c r="D20" s="200" t="s">
        <v>428</v>
      </c>
      <c r="E20" s="200" t="s">
        <v>477</v>
      </c>
      <c r="F20" s="128">
        <v>40000</v>
      </c>
      <c r="G20" s="128">
        <v>856</v>
      </c>
      <c r="H20" s="130"/>
      <c r="I20" s="130"/>
      <c r="J20" s="129"/>
      <c r="K20" s="129"/>
      <c r="L20" s="129"/>
      <c r="M20" s="130"/>
      <c r="N20" s="207">
        <v>40856</v>
      </c>
      <c r="O20" s="207">
        <v>1275</v>
      </c>
      <c r="P20" s="207">
        <v>600</v>
      </c>
      <c r="Q20" s="207"/>
      <c r="R20" s="130"/>
      <c r="S20" s="207">
        <v>1875</v>
      </c>
      <c r="T20" s="207">
        <v>38981</v>
      </c>
      <c r="U20" s="132"/>
      <c r="V20" s="132"/>
      <c r="W20" s="132"/>
      <c r="X20" s="132"/>
      <c r="Y20" s="132"/>
      <c r="Z20" s="132"/>
      <c r="AA20" s="132"/>
      <c r="AB20" s="132"/>
      <c r="AC20" s="132"/>
      <c r="AE20" s="207">
        <v>40000</v>
      </c>
      <c r="AF20" s="132">
        <v>1190</v>
      </c>
      <c r="AG20" s="132">
        <v>85</v>
      </c>
    </row>
    <row r="21" spans="1:33" s="133" customFormat="1" ht="11.25" customHeight="1">
      <c r="A21" s="123">
        <v>16</v>
      </c>
      <c r="B21" s="202">
        <v>1016</v>
      </c>
      <c r="C21" s="200" t="s">
        <v>173</v>
      </c>
      <c r="D21" s="200" t="s">
        <v>429</v>
      </c>
      <c r="E21" s="200" t="s">
        <v>478</v>
      </c>
      <c r="F21" s="128">
        <v>32760</v>
      </c>
      <c r="G21" s="128">
        <v>4588</v>
      </c>
      <c r="H21" s="130">
        <v>3000</v>
      </c>
      <c r="I21" s="130"/>
      <c r="J21" s="129"/>
      <c r="K21" s="129"/>
      <c r="L21" s="129"/>
      <c r="M21" s="130"/>
      <c r="N21" s="207">
        <v>40348</v>
      </c>
      <c r="O21" s="207">
        <v>1224</v>
      </c>
      <c r="P21" s="207">
        <v>600</v>
      </c>
      <c r="Q21" s="207"/>
      <c r="R21" s="130"/>
      <c r="S21" s="207">
        <v>1824</v>
      </c>
      <c r="T21" s="207">
        <v>38524</v>
      </c>
      <c r="U21" s="132"/>
      <c r="V21" s="132"/>
      <c r="W21" s="132"/>
      <c r="X21" s="132"/>
      <c r="Y21" s="132"/>
      <c r="Z21" s="132"/>
      <c r="AA21" s="132"/>
      <c r="AB21" s="132"/>
      <c r="AC21" s="132"/>
      <c r="AE21" s="207">
        <v>35760</v>
      </c>
      <c r="AF21" s="132">
        <v>766</v>
      </c>
      <c r="AG21" s="132">
        <v>458</v>
      </c>
    </row>
    <row r="22" spans="1:33" s="133" customFormat="1" ht="11.25" customHeight="1">
      <c r="A22" s="123">
        <v>17</v>
      </c>
      <c r="B22" s="202">
        <v>1017</v>
      </c>
      <c r="C22" s="200" t="s">
        <v>173</v>
      </c>
      <c r="D22" s="200" t="s">
        <v>430</v>
      </c>
      <c r="E22" s="200" t="s">
        <v>479</v>
      </c>
      <c r="F22" s="128">
        <v>18550</v>
      </c>
      <c r="G22" s="128">
        <v>2356</v>
      </c>
      <c r="H22" s="130">
        <v>1500</v>
      </c>
      <c r="I22" s="130">
        <v>1500</v>
      </c>
      <c r="J22" s="129"/>
      <c r="K22" s="129"/>
      <c r="L22" s="129"/>
      <c r="M22" s="130"/>
      <c r="N22" s="207">
        <v>23906</v>
      </c>
      <c r="O22" s="207">
        <v>0</v>
      </c>
      <c r="P22" s="207">
        <v>600</v>
      </c>
      <c r="Q22" s="207"/>
      <c r="R22" s="130"/>
      <c r="S22" s="207">
        <v>600</v>
      </c>
      <c r="T22" s="207">
        <v>23306</v>
      </c>
      <c r="U22" s="132"/>
      <c r="V22" s="132"/>
      <c r="W22" s="132"/>
      <c r="X22" s="132"/>
      <c r="Y22" s="132"/>
      <c r="Z22" s="132"/>
      <c r="AA22" s="132"/>
      <c r="AB22" s="132"/>
      <c r="AC22" s="132"/>
      <c r="AE22" s="207">
        <v>21550</v>
      </c>
      <c r="AF22" s="132"/>
      <c r="AG22" s="132"/>
    </row>
    <row r="23" spans="1:33" s="133" customFormat="1" ht="11.25" customHeight="1">
      <c r="A23" s="123">
        <v>18</v>
      </c>
      <c r="B23" s="202">
        <v>1018</v>
      </c>
      <c r="C23" s="200" t="s">
        <v>173</v>
      </c>
      <c r="D23" s="200" t="s">
        <v>431</v>
      </c>
      <c r="E23" s="200" t="s">
        <v>480</v>
      </c>
      <c r="F23" s="128">
        <v>18550</v>
      </c>
      <c r="G23" s="129">
        <v>0</v>
      </c>
      <c r="H23" s="130">
        <v>1500</v>
      </c>
      <c r="I23" s="130">
        <v>1500</v>
      </c>
      <c r="J23" s="129"/>
      <c r="K23" s="129"/>
      <c r="L23" s="129"/>
      <c r="M23" s="130"/>
      <c r="N23" s="207">
        <v>21550</v>
      </c>
      <c r="O23" s="207">
        <v>37</v>
      </c>
      <c r="P23" s="207">
        <v>600</v>
      </c>
      <c r="Q23" s="207"/>
      <c r="R23" s="130"/>
      <c r="S23" s="207">
        <v>637</v>
      </c>
      <c r="T23" s="207">
        <v>20913</v>
      </c>
      <c r="U23" s="132"/>
      <c r="V23" s="132"/>
      <c r="W23" s="132"/>
      <c r="X23" s="132"/>
      <c r="Y23" s="132"/>
      <c r="Z23" s="132"/>
      <c r="AA23" s="132"/>
      <c r="AB23" s="132"/>
      <c r="AC23" s="132"/>
      <c r="AE23" s="207">
        <v>21550</v>
      </c>
      <c r="AF23" s="132">
        <v>37</v>
      </c>
      <c r="AG23" s="132">
        <v>0</v>
      </c>
    </row>
    <row r="24" spans="1:33" s="133" customFormat="1" ht="11.25" customHeight="1">
      <c r="A24" s="123">
        <v>19</v>
      </c>
      <c r="B24" s="202">
        <v>1019</v>
      </c>
      <c r="C24" s="200" t="s">
        <v>173</v>
      </c>
      <c r="D24" s="200" t="s">
        <v>432</v>
      </c>
      <c r="E24" s="200" t="s">
        <v>481</v>
      </c>
      <c r="F24" s="128">
        <v>35000</v>
      </c>
      <c r="G24" s="129">
        <v>1000</v>
      </c>
      <c r="H24" s="130">
        <v>2000</v>
      </c>
      <c r="I24" s="130">
        <v>3000</v>
      </c>
      <c r="J24" s="130">
        <v>4000</v>
      </c>
      <c r="K24" s="130">
        <v>5000</v>
      </c>
      <c r="L24" s="130">
        <v>6000</v>
      </c>
      <c r="M24" s="130">
        <v>7000</v>
      </c>
      <c r="N24" s="207">
        <v>63000</v>
      </c>
      <c r="O24" s="207">
        <v>3490</v>
      </c>
      <c r="P24" s="207">
        <v>600</v>
      </c>
      <c r="Q24" s="207"/>
      <c r="R24" s="130"/>
      <c r="S24" s="207">
        <v>4090</v>
      </c>
      <c r="T24" s="207">
        <v>58910</v>
      </c>
      <c r="U24" s="132"/>
      <c r="V24" s="132"/>
      <c r="W24" s="132"/>
      <c r="X24" s="132"/>
      <c r="Y24" s="132"/>
      <c r="Z24" s="132"/>
      <c r="AA24" s="132"/>
      <c r="AB24" s="132"/>
      <c r="AC24" s="132"/>
      <c r="AE24" s="207">
        <v>45000</v>
      </c>
      <c r="AF24" s="132">
        <v>1690</v>
      </c>
      <c r="AG24" s="132">
        <v>1800</v>
      </c>
    </row>
    <row r="25" spans="1:33" s="133" customFormat="1" ht="11.25" customHeight="1">
      <c r="A25" s="123"/>
      <c r="B25" s="202"/>
      <c r="C25" s="200"/>
      <c r="D25" s="200"/>
      <c r="E25" s="200"/>
      <c r="F25" s="128"/>
      <c r="G25" s="129"/>
      <c r="H25" s="130"/>
      <c r="I25" s="130"/>
      <c r="J25" s="129"/>
      <c r="K25" s="129"/>
      <c r="L25" s="129"/>
      <c r="M25" s="130"/>
      <c r="N25" s="207">
        <v>0</v>
      </c>
      <c r="O25" s="207">
        <v>0</v>
      </c>
      <c r="P25" s="207">
        <v>0</v>
      </c>
      <c r="Q25" s="207"/>
      <c r="R25" s="130"/>
      <c r="S25" s="207">
        <v>0</v>
      </c>
      <c r="T25" s="207">
        <v>0</v>
      </c>
      <c r="U25" s="132"/>
      <c r="V25" s="132"/>
      <c r="W25" s="132"/>
      <c r="X25" s="132"/>
      <c r="Y25" s="132"/>
      <c r="Z25" s="132"/>
      <c r="AA25" s="132"/>
      <c r="AB25" s="132"/>
      <c r="AC25" s="132"/>
      <c r="AE25" s="207">
        <v>0</v>
      </c>
      <c r="AF25" s="132"/>
      <c r="AG25" s="132"/>
    </row>
    <row r="26" spans="1:33" s="133" customFormat="1" ht="11.25" customHeight="1">
      <c r="A26" s="123"/>
      <c r="B26" s="202"/>
      <c r="C26" s="200"/>
      <c r="D26" s="200"/>
      <c r="E26" s="200"/>
      <c r="F26" s="128"/>
      <c r="G26" s="129"/>
      <c r="H26" s="130"/>
      <c r="I26" s="130"/>
      <c r="J26" s="129"/>
      <c r="K26" s="129"/>
      <c r="L26" s="129"/>
      <c r="M26" s="130"/>
      <c r="N26" s="207">
        <v>0</v>
      </c>
      <c r="O26" s="207">
        <v>0</v>
      </c>
      <c r="P26" s="207">
        <v>0</v>
      </c>
      <c r="Q26" s="207"/>
      <c r="R26" s="130"/>
      <c r="S26" s="207">
        <v>0</v>
      </c>
      <c r="T26" s="207">
        <v>0</v>
      </c>
      <c r="U26" s="132"/>
      <c r="V26" s="132"/>
      <c r="W26" s="132"/>
      <c r="X26" s="132"/>
      <c r="Y26" s="132"/>
      <c r="Z26" s="132"/>
      <c r="AA26" s="132"/>
      <c r="AB26" s="132"/>
      <c r="AC26" s="132"/>
      <c r="AE26" s="207">
        <v>0</v>
      </c>
      <c r="AF26" s="132"/>
      <c r="AG26" s="132"/>
    </row>
    <row r="27" spans="1:33" s="133" customFormat="1" ht="11.25" customHeight="1">
      <c r="A27" s="123"/>
      <c r="B27" s="202"/>
      <c r="C27" s="200"/>
      <c r="D27" s="200"/>
      <c r="E27" s="200"/>
      <c r="F27" s="128"/>
      <c r="G27" s="129"/>
      <c r="H27" s="130"/>
      <c r="I27" s="130"/>
      <c r="J27" s="129"/>
      <c r="K27" s="129"/>
      <c r="L27" s="129"/>
      <c r="M27" s="130"/>
      <c r="N27" s="207">
        <v>0</v>
      </c>
      <c r="O27" s="207">
        <v>0</v>
      </c>
      <c r="P27" s="207">
        <v>0</v>
      </c>
      <c r="Q27" s="207"/>
      <c r="R27" s="130"/>
      <c r="S27" s="207">
        <v>0</v>
      </c>
      <c r="T27" s="207">
        <v>0</v>
      </c>
      <c r="U27" s="132"/>
      <c r="V27" s="132"/>
      <c r="W27" s="132"/>
      <c r="X27" s="132"/>
      <c r="Y27" s="132"/>
      <c r="Z27" s="132"/>
      <c r="AA27" s="132"/>
      <c r="AB27" s="132"/>
      <c r="AC27" s="132"/>
      <c r="AE27" s="207">
        <v>0</v>
      </c>
      <c r="AF27" s="132"/>
      <c r="AG27" s="132"/>
    </row>
    <row r="28" spans="1:33" s="133" customFormat="1" ht="11.25" customHeight="1">
      <c r="A28" s="123"/>
      <c r="B28" s="202"/>
      <c r="C28" s="200"/>
      <c r="D28" s="200"/>
      <c r="E28" s="200"/>
      <c r="F28" s="128"/>
      <c r="G28" s="129"/>
      <c r="H28" s="130"/>
      <c r="I28" s="130"/>
      <c r="J28" s="129"/>
      <c r="K28" s="129"/>
      <c r="L28" s="129"/>
      <c r="M28" s="130"/>
      <c r="N28" s="207"/>
      <c r="O28" s="207"/>
      <c r="P28" s="207"/>
      <c r="Q28" s="207"/>
      <c r="R28" s="130"/>
      <c r="S28" s="207"/>
      <c r="T28" s="207"/>
      <c r="U28" s="132"/>
      <c r="V28" s="132"/>
      <c r="W28" s="132"/>
      <c r="X28" s="132"/>
      <c r="Y28" s="132"/>
      <c r="Z28" s="132"/>
      <c r="AA28" s="132"/>
      <c r="AB28" s="132"/>
      <c r="AC28" s="132"/>
      <c r="AE28" s="207">
        <v>0</v>
      </c>
      <c r="AF28" s="132"/>
      <c r="AG28" s="132"/>
    </row>
    <row r="29" spans="1:33" s="133" customFormat="1" ht="15" customHeight="1" thickBot="1">
      <c r="A29" s="166"/>
      <c r="B29" s="167"/>
      <c r="C29" s="168"/>
      <c r="D29" s="169"/>
      <c r="E29" s="170"/>
      <c r="F29" s="171">
        <v>537070</v>
      </c>
      <c r="G29" s="171">
        <v>19704</v>
      </c>
      <c r="H29" s="171">
        <v>15500</v>
      </c>
      <c r="I29" s="171">
        <v>12000</v>
      </c>
      <c r="J29" s="171">
        <v>16000</v>
      </c>
      <c r="K29" s="171">
        <v>24350</v>
      </c>
      <c r="L29" s="171">
        <v>16500</v>
      </c>
      <c r="M29" s="171">
        <v>19500</v>
      </c>
      <c r="N29" s="171">
        <v>660624</v>
      </c>
      <c r="O29" s="171">
        <v>44842</v>
      </c>
      <c r="P29" s="171">
        <v>8222</v>
      </c>
      <c r="Q29" s="171">
        <v>0</v>
      </c>
      <c r="R29" s="171">
        <v>0</v>
      </c>
      <c r="S29" s="171">
        <v>53064</v>
      </c>
      <c r="T29" s="171">
        <v>607560</v>
      </c>
      <c r="U29" s="132"/>
      <c r="V29" s="132"/>
      <c r="W29" s="132"/>
      <c r="X29" s="132"/>
      <c r="Y29" s="132"/>
      <c r="Z29" s="132"/>
      <c r="AA29" s="132"/>
      <c r="AB29" s="132"/>
    </row>
    <row r="30" spans="1:33" s="133" customFormat="1" ht="15" customHeight="1" thickTop="1">
      <c r="A30" s="172"/>
      <c r="B30" s="164"/>
      <c r="C30" s="164"/>
      <c r="D30" s="165"/>
      <c r="E30" s="165"/>
      <c r="F30" s="131"/>
      <c r="G30" s="131"/>
      <c r="H30" s="131"/>
      <c r="I30" s="131"/>
      <c r="J30" s="131"/>
      <c r="K30" s="131"/>
      <c r="L30" s="131"/>
      <c r="M30" s="173"/>
      <c r="N30" s="131"/>
      <c r="O30" s="131"/>
      <c r="P30" s="131"/>
      <c r="Q30" s="131"/>
      <c r="R30" s="131"/>
      <c r="S30" s="131"/>
      <c r="T30" s="131"/>
      <c r="U30" s="132"/>
      <c r="V30" s="132"/>
      <c r="W30" s="132"/>
      <c r="X30" s="132"/>
      <c r="Y30" s="132"/>
      <c r="Z30" s="132"/>
      <c r="AA30" s="132"/>
      <c r="AB30" s="132"/>
    </row>
  </sheetData>
  <phoneticPr fontId="81" type="noConversion"/>
  <pageMargins left="0.75" right="0.75" top="1" bottom="1" header="0.5" footer="0.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12">
    <tabColor indexed="12"/>
  </sheetPr>
  <dimension ref="A1:AL30"/>
  <sheetViews>
    <sheetView workbookViewId="0"/>
  </sheetViews>
  <sheetFormatPr defaultRowHeight="21.75"/>
  <cols>
    <col min="1" max="1" width="5.140625" style="174" customWidth="1"/>
    <col min="2" max="2" width="5.85546875" style="175" customWidth="1"/>
    <col min="3" max="3" width="4.7109375" style="175" bestFit="1" customWidth="1"/>
    <col min="4" max="4" width="10.42578125" style="177" customWidth="1"/>
    <col min="5" max="5" width="15.7109375" style="177" bestFit="1" customWidth="1"/>
    <col min="6" max="6" width="11.5703125" style="176" customWidth="1"/>
    <col min="7" max="7" width="10.7109375" style="176" customWidth="1"/>
    <col min="8" max="8" width="11.28515625" style="176" customWidth="1"/>
    <col min="9" max="11" width="9.28515625" style="176" customWidth="1"/>
    <col min="12" max="12" width="10.7109375" style="176" customWidth="1"/>
    <col min="13" max="13" width="10.140625" style="176" customWidth="1"/>
    <col min="14" max="14" width="11.7109375" style="176" customWidth="1"/>
    <col min="15" max="15" width="14.28515625" style="176" bestFit="1" customWidth="1"/>
    <col min="16" max="16" width="10.5703125" style="176" bestFit="1" customWidth="1"/>
    <col min="17" max="17" width="12.140625" style="176" bestFit="1" customWidth="1"/>
    <col min="18" max="18" width="11.42578125" style="176" customWidth="1"/>
    <col min="19" max="19" width="10.7109375" style="176" customWidth="1"/>
    <col min="20" max="20" width="13.7109375" style="176" customWidth="1"/>
    <col min="21" max="21" width="10.140625" style="176" customWidth="1"/>
    <col min="22" max="28" width="5.7109375" style="176" customWidth="1"/>
    <col min="29" max="29" width="5.7109375" style="177" customWidth="1"/>
    <col min="30" max="30" width="5.7109375" customWidth="1"/>
    <col min="31" max="33" width="11.7109375" style="177" customWidth="1"/>
    <col min="34" max="34" width="9.28515625" style="177" customWidth="1"/>
    <col min="35" max="35" width="8.42578125" style="177" customWidth="1"/>
    <col min="36" max="36" width="11" style="177" customWidth="1"/>
    <col min="37" max="38" width="10.140625" style="177" customWidth="1"/>
    <col min="39" max="39" width="9.28515625" style="177" customWidth="1"/>
    <col min="40" max="16384" width="9.140625" style="177"/>
  </cols>
  <sheetData>
    <row r="1" spans="1:38" s="141" customFormat="1" ht="14.25">
      <c r="A1" s="139" t="s">
        <v>370</v>
      </c>
      <c r="B1" s="140"/>
      <c r="C1" s="140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</row>
    <row r="2" spans="1:38" s="141" customFormat="1" ht="14.25">
      <c r="A2" s="143" t="s">
        <v>520</v>
      </c>
      <c r="B2" s="140"/>
      <c r="C2" s="140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4">
        <v>40954</v>
      </c>
      <c r="U2" s="142"/>
      <c r="V2" s="142"/>
      <c r="W2" s="142"/>
      <c r="X2" s="142"/>
      <c r="Y2" s="142"/>
      <c r="Z2" s="142"/>
      <c r="AA2" s="142"/>
      <c r="AB2" s="142"/>
      <c r="AC2" s="146"/>
      <c r="AE2" s="307" t="s">
        <v>222</v>
      </c>
      <c r="AF2" s="307" t="s">
        <v>53</v>
      </c>
      <c r="AG2" s="307" t="s">
        <v>53</v>
      </c>
      <c r="AH2" s="146"/>
      <c r="AI2" s="146"/>
      <c r="AJ2" s="146"/>
      <c r="AK2" s="146"/>
      <c r="AL2" s="146"/>
    </row>
    <row r="3" spans="1:38" s="141" customFormat="1" ht="8.25" customHeight="1">
      <c r="A3" s="139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308"/>
      <c r="AF3" s="308"/>
      <c r="AG3" s="308"/>
    </row>
    <row r="4" spans="1:38" s="156" customFormat="1" ht="18" customHeight="1">
      <c r="A4" s="147" t="s">
        <v>123</v>
      </c>
      <c r="B4" s="148" t="s">
        <v>180</v>
      </c>
      <c r="C4" s="149" t="s">
        <v>185</v>
      </c>
      <c r="D4" s="150" t="s">
        <v>80</v>
      </c>
      <c r="E4" s="151" t="s">
        <v>184</v>
      </c>
      <c r="F4" s="152" t="s">
        <v>178</v>
      </c>
      <c r="G4" s="153"/>
      <c r="H4" s="153"/>
      <c r="I4" s="153"/>
      <c r="J4" s="153"/>
      <c r="K4" s="153"/>
      <c r="L4" s="153"/>
      <c r="M4" s="153"/>
      <c r="N4" s="153"/>
      <c r="O4" s="153" t="s">
        <v>179</v>
      </c>
      <c r="P4" s="153"/>
      <c r="Q4" s="153"/>
      <c r="R4" s="153"/>
      <c r="S4" s="153"/>
      <c r="T4" s="154" t="s">
        <v>56</v>
      </c>
      <c r="U4" s="155"/>
      <c r="V4" s="155"/>
      <c r="W4" s="155"/>
      <c r="X4" s="155"/>
      <c r="Y4" s="155"/>
      <c r="Z4" s="155"/>
      <c r="AA4" s="155"/>
      <c r="AB4" s="155"/>
      <c r="AC4" s="157"/>
      <c r="AE4" s="309" t="s">
        <v>223</v>
      </c>
      <c r="AF4" s="309" t="s">
        <v>311</v>
      </c>
      <c r="AG4" s="309" t="s">
        <v>311</v>
      </c>
      <c r="AH4" s="157"/>
      <c r="AI4" s="157"/>
      <c r="AJ4" s="157"/>
      <c r="AK4" s="157"/>
      <c r="AL4" s="157"/>
    </row>
    <row r="5" spans="1:38" s="214" customFormat="1" ht="11.25">
      <c r="A5" s="158" t="s">
        <v>129</v>
      </c>
      <c r="B5" s="159"/>
      <c r="C5" s="160" t="s">
        <v>186</v>
      </c>
      <c r="D5" s="161"/>
      <c r="E5" s="162"/>
      <c r="F5" s="163" t="s">
        <v>321</v>
      </c>
      <c r="G5" s="138" t="s">
        <v>51</v>
      </c>
      <c r="H5" s="138" t="s">
        <v>425</v>
      </c>
      <c r="I5" s="138" t="s">
        <v>426</v>
      </c>
      <c r="J5" s="138" t="s">
        <v>519</v>
      </c>
      <c r="K5" s="138" t="s">
        <v>455</v>
      </c>
      <c r="L5" s="138" t="s">
        <v>369</v>
      </c>
      <c r="M5" s="138" t="s">
        <v>55</v>
      </c>
      <c r="N5" s="320" t="s">
        <v>60</v>
      </c>
      <c r="O5" s="320" t="s">
        <v>181</v>
      </c>
      <c r="P5" s="320" t="s">
        <v>58</v>
      </c>
      <c r="Q5" s="320" t="s">
        <v>183</v>
      </c>
      <c r="R5" s="138" t="s">
        <v>55</v>
      </c>
      <c r="S5" s="320" t="s">
        <v>322</v>
      </c>
      <c r="T5" s="321"/>
      <c r="U5" s="213"/>
      <c r="V5" s="213"/>
      <c r="W5" s="213"/>
      <c r="X5" s="213"/>
      <c r="Y5" s="213"/>
      <c r="Z5" s="213"/>
      <c r="AA5" s="213"/>
      <c r="AB5" s="213"/>
      <c r="AE5" s="310" t="s">
        <v>58</v>
      </c>
      <c r="AF5" s="310" t="s">
        <v>222</v>
      </c>
      <c r="AG5" s="310" t="s">
        <v>312</v>
      </c>
    </row>
    <row r="6" spans="1:38" s="133" customFormat="1" ht="11.25" customHeight="1">
      <c r="A6" s="123">
        <v>1</v>
      </c>
      <c r="B6" s="202">
        <v>1001</v>
      </c>
      <c r="C6" s="200" t="s">
        <v>427</v>
      </c>
      <c r="D6" s="200" t="s">
        <v>429</v>
      </c>
      <c r="E6" s="200" t="s">
        <v>463</v>
      </c>
      <c r="F6" s="128">
        <v>150000</v>
      </c>
      <c r="G6" s="129">
        <v>812.5</v>
      </c>
      <c r="H6" s="130">
        <v>2500</v>
      </c>
      <c r="I6" s="130">
        <v>1500</v>
      </c>
      <c r="J6" s="129">
        <v>2500</v>
      </c>
      <c r="K6" s="129">
        <v>3500</v>
      </c>
      <c r="L6" s="129">
        <v>4500</v>
      </c>
      <c r="M6" s="130">
        <v>5500</v>
      </c>
      <c r="N6" s="207">
        <v>170812.5</v>
      </c>
      <c r="O6" s="207">
        <v>31484</v>
      </c>
      <c r="P6" s="207">
        <v>450</v>
      </c>
      <c r="Q6" s="207"/>
      <c r="R6" s="130"/>
      <c r="S6" s="207">
        <v>31934</v>
      </c>
      <c r="T6" s="207">
        <v>138878.5</v>
      </c>
      <c r="U6" s="132"/>
      <c r="V6" s="132"/>
      <c r="W6" s="132"/>
      <c r="X6" s="132"/>
      <c r="Y6" s="132"/>
      <c r="Z6" s="132"/>
      <c r="AA6" s="132"/>
      <c r="AB6" s="132"/>
      <c r="AC6" s="132"/>
      <c r="AE6" s="207">
        <v>157500</v>
      </c>
      <c r="AF6" s="132">
        <v>27490</v>
      </c>
      <c r="AG6" s="132">
        <v>3994</v>
      </c>
    </row>
    <row r="7" spans="1:38" s="133" customFormat="1" ht="11.25" customHeight="1">
      <c r="A7" s="123">
        <v>2</v>
      </c>
      <c r="B7" s="202">
        <v>1002</v>
      </c>
      <c r="C7" s="200" t="s">
        <v>427</v>
      </c>
      <c r="D7" s="200" t="s">
        <v>430</v>
      </c>
      <c r="E7" s="200" t="s">
        <v>464</v>
      </c>
      <c r="F7" s="128">
        <v>8512</v>
      </c>
      <c r="G7" s="129">
        <v>0</v>
      </c>
      <c r="H7" s="130"/>
      <c r="I7" s="130"/>
      <c r="J7" s="129"/>
      <c r="K7" s="129"/>
      <c r="L7" s="129"/>
      <c r="M7" s="130"/>
      <c r="N7" s="207">
        <v>8512</v>
      </c>
      <c r="O7" s="207">
        <v>0</v>
      </c>
      <c r="P7" s="207">
        <v>255</v>
      </c>
      <c r="Q7" s="207"/>
      <c r="R7" s="130"/>
      <c r="S7" s="207">
        <v>255</v>
      </c>
      <c r="T7" s="207">
        <v>8257</v>
      </c>
      <c r="U7" s="132"/>
      <c r="V7" s="132"/>
      <c r="W7" s="132"/>
      <c r="X7" s="132"/>
      <c r="Y7" s="132"/>
      <c r="Z7" s="132"/>
      <c r="AA7" s="132"/>
      <c r="AB7" s="132"/>
      <c r="AC7" s="132"/>
      <c r="AE7" s="207">
        <v>8512</v>
      </c>
      <c r="AF7" s="132"/>
      <c r="AG7" s="132"/>
    </row>
    <row r="8" spans="1:38" s="133" customFormat="1" ht="11.25" customHeight="1">
      <c r="A8" s="123">
        <v>3</v>
      </c>
      <c r="B8" s="202">
        <v>1003</v>
      </c>
      <c r="C8" s="200" t="s">
        <v>427</v>
      </c>
      <c r="D8" s="200" t="s">
        <v>431</v>
      </c>
      <c r="E8" s="200" t="s">
        <v>465</v>
      </c>
      <c r="F8" s="128">
        <v>12000</v>
      </c>
      <c r="G8" s="129">
        <v>0</v>
      </c>
      <c r="H8" s="130">
        <v>0</v>
      </c>
      <c r="I8" s="130"/>
      <c r="J8" s="129"/>
      <c r="K8" s="129"/>
      <c r="L8" s="129"/>
      <c r="M8" s="130"/>
      <c r="N8" s="207">
        <v>12000</v>
      </c>
      <c r="O8" s="207">
        <v>0</v>
      </c>
      <c r="P8" s="207">
        <v>360</v>
      </c>
      <c r="Q8" s="207"/>
      <c r="R8" s="130"/>
      <c r="S8" s="207">
        <v>360</v>
      </c>
      <c r="T8" s="207">
        <v>11640</v>
      </c>
      <c r="U8" s="132"/>
      <c r="V8" s="132"/>
      <c r="W8" s="132"/>
      <c r="X8" s="132"/>
      <c r="Y8" s="132"/>
      <c r="Z8" s="132"/>
      <c r="AA8" s="132"/>
      <c r="AB8" s="132"/>
      <c r="AC8" s="132"/>
      <c r="AE8" s="207">
        <v>12000</v>
      </c>
      <c r="AF8" s="132"/>
      <c r="AG8" s="132"/>
    </row>
    <row r="9" spans="1:38" s="133" customFormat="1" ht="11.25" customHeight="1">
      <c r="A9" s="123">
        <v>4</v>
      </c>
      <c r="B9" s="202">
        <v>1004</v>
      </c>
      <c r="C9" s="200" t="s">
        <v>173</v>
      </c>
      <c r="D9" s="200" t="s">
        <v>432</v>
      </c>
      <c r="E9" s="200" t="s">
        <v>466</v>
      </c>
      <c r="F9" s="128">
        <v>38896</v>
      </c>
      <c r="G9" s="129">
        <v>0</v>
      </c>
      <c r="H9" s="130"/>
      <c r="I9" s="130"/>
      <c r="J9" s="129"/>
      <c r="K9" s="129"/>
      <c r="L9" s="129"/>
      <c r="M9" s="130"/>
      <c r="N9" s="207">
        <v>38896</v>
      </c>
      <c r="O9" s="207">
        <v>1845</v>
      </c>
      <c r="P9" s="207">
        <v>450</v>
      </c>
      <c r="Q9" s="207"/>
      <c r="R9" s="130"/>
      <c r="S9" s="207">
        <v>2295</v>
      </c>
      <c r="T9" s="207">
        <v>36601</v>
      </c>
      <c r="U9" s="132"/>
      <c r="V9" s="132"/>
      <c r="W9" s="132"/>
      <c r="X9" s="132"/>
      <c r="Y9" s="132"/>
      <c r="Z9" s="132"/>
      <c r="AA9" s="132"/>
      <c r="AB9" s="132"/>
      <c r="AC9" s="132"/>
      <c r="AE9" s="207">
        <v>38896</v>
      </c>
      <c r="AF9" s="132">
        <v>1845</v>
      </c>
      <c r="AG9" s="132">
        <v>0</v>
      </c>
    </row>
    <row r="10" spans="1:38" s="133" customFormat="1" ht="11.25" customHeight="1">
      <c r="A10" s="123">
        <v>5</v>
      </c>
      <c r="B10" s="202">
        <v>1005</v>
      </c>
      <c r="C10" s="200" t="s">
        <v>427</v>
      </c>
      <c r="D10" s="200" t="s">
        <v>433</v>
      </c>
      <c r="E10" s="200" t="s">
        <v>467</v>
      </c>
      <c r="F10" s="128"/>
      <c r="G10" s="129">
        <v>0</v>
      </c>
      <c r="H10" s="130"/>
      <c r="I10" s="130"/>
      <c r="J10" s="129"/>
      <c r="K10" s="129"/>
      <c r="L10" s="129"/>
      <c r="M10" s="130"/>
      <c r="N10" s="207">
        <v>0</v>
      </c>
      <c r="O10" s="207">
        <v>0</v>
      </c>
      <c r="P10" s="207">
        <v>0</v>
      </c>
      <c r="Q10" s="207"/>
      <c r="R10" s="130"/>
      <c r="S10" s="207">
        <v>0</v>
      </c>
      <c r="T10" s="207">
        <v>0</v>
      </c>
      <c r="U10" s="132"/>
      <c r="V10" s="132"/>
      <c r="W10" s="132"/>
      <c r="X10" s="132"/>
      <c r="Y10" s="132"/>
      <c r="Z10" s="132"/>
      <c r="AA10" s="132"/>
      <c r="AB10" s="132"/>
      <c r="AC10" s="132"/>
      <c r="AE10" s="207">
        <v>0</v>
      </c>
      <c r="AF10" s="132"/>
      <c r="AG10" s="132"/>
    </row>
    <row r="11" spans="1:38" s="133" customFormat="1" ht="11.25" customHeight="1">
      <c r="A11" s="123">
        <v>6</v>
      </c>
      <c r="B11" s="202">
        <v>1006</v>
      </c>
      <c r="C11" s="200" t="s">
        <v>173</v>
      </c>
      <c r="D11" s="200" t="s">
        <v>434</v>
      </c>
      <c r="E11" s="200" t="s">
        <v>468</v>
      </c>
      <c r="F11" s="128"/>
      <c r="G11" s="129">
        <v>0</v>
      </c>
      <c r="H11" s="130"/>
      <c r="I11" s="130"/>
      <c r="J11" s="129"/>
      <c r="K11" s="129"/>
      <c r="L11" s="129"/>
      <c r="M11" s="130"/>
      <c r="N11" s="207">
        <v>0</v>
      </c>
      <c r="O11" s="207">
        <v>0</v>
      </c>
      <c r="P11" s="207">
        <v>0</v>
      </c>
      <c r="Q11" s="207"/>
      <c r="R11" s="130"/>
      <c r="S11" s="207">
        <v>0</v>
      </c>
      <c r="T11" s="207">
        <v>0</v>
      </c>
      <c r="U11" s="132"/>
      <c r="V11" s="132"/>
      <c r="W11" s="132"/>
      <c r="X11" s="132"/>
      <c r="Y11" s="132"/>
      <c r="Z11" s="132"/>
      <c r="AA11" s="132"/>
      <c r="AB11" s="132"/>
      <c r="AC11" s="132"/>
      <c r="AE11" s="207">
        <v>0</v>
      </c>
      <c r="AF11" s="132"/>
      <c r="AG11" s="132"/>
    </row>
    <row r="12" spans="1:38" s="133" customFormat="1" ht="11.25" customHeight="1">
      <c r="A12" s="123">
        <v>7</v>
      </c>
      <c r="B12" s="202">
        <v>1007</v>
      </c>
      <c r="C12" s="200" t="s">
        <v>226</v>
      </c>
      <c r="D12" s="200" t="s">
        <v>435</v>
      </c>
      <c r="E12" s="200" t="s">
        <v>469</v>
      </c>
      <c r="F12" s="128"/>
      <c r="G12" s="129">
        <v>0</v>
      </c>
      <c r="H12" s="130"/>
      <c r="I12" s="130"/>
      <c r="J12" s="129"/>
      <c r="K12" s="129"/>
      <c r="L12" s="129"/>
      <c r="M12" s="130"/>
      <c r="N12" s="207">
        <v>0</v>
      </c>
      <c r="O12" s="207">
        <v>0</v>
      </c>
      <c r="P12" s="207">
        <v>0</v>
      </c>
      <c r="Q12" s="207"/>
      <c r="R12" s="130"/>
      <c r="S12" s="207">
        <v>0</v>
      </c>
      <c r="T12" s="207">
        <v>0</v>
      </c>
      <c r="U12" s="132"/>
      <c r="V12" s="132"/>
      <c r="W12" s="132"/>
      <c r="X12" s="132"/>
      <c r="Y12" s="132"/>
      <c r="Z12" s="132"/>
      <c r="AA12" s="132"/>
      <c r="AB12" s="132"/>
      <c r="AC12" s="132"/>
      <c r="AE12" s="207">
        <v>0</v>
      </c>
      <c r="AF12" s="132"/>
      <c r="AG12" s="132"/>
    </row>
    <row r="13" spans="1:38" s="133" customFormat="1" ht="11.25" customHeight="1">
      <c r="A13" s="123">
        <v>8</v>
      </c>
      <c r="B13" s="202">
        <v>1008</v>
      </c>
      <c r="C13" s="200" t="s">
        <v>173</v>
      </c>
      <c r="D13" s="200" t="s">
        <v>436</v>
      </c>
      <c r="E13" s="200" t="s">
        <v>470</v>
      </c>
      <c r="F13" s="128">
        <v>6000</v>
      </c>
      <c r="G13" s="129">
        <v>0</v>
      </c>
      <c r="H13" s="130"/>
      <c r="I13" s="130"/>
      <c r="J13" s="129"/>
      <c r="K13" s="129"/>
      <c r="L13" s="129"/>
      <c r="M13" s="130"/>
      <c r="N13" s="207">
        <v>6000</v>
      </c>
      <c r="O13" s="207">
        <v>0</v>
      </c>
      <c r="P13" s="207">
        <v>180</v>
      </c>
      <c r="Q13" s="207"/>
      <c r="R13" s="130"/>
      <c r="S13" s="207">
        <v>180</v>
      </c>
      <c r="T13" s="207">
        <v>5820</v>
      </c>
      <c r="U13" s="132"/>
      <c r="V13" s="132"/>
      <c r="W13" s="132"/>
      <c r="X13" s="132"/>
      <c r="Y13" s="132"/>
      <c r="Z13" s="132"/>
      <c r="AA13" s="132"/>
      <c r="AB13" s="132"/>
      <c r="AC13" s="132"/>
      <c r="AE13" s="207">
        <v>6000</v>
      </c>
      <c r="AF13" s="132"/>
      <c r="AG13" s="132"/>
    </row>
    <row r="14" spans="1:38" s="133" customFormat="1" ht="11.25" customHeight="1">
      <c r="A14" s="123">
        <v>9</v>
      </c>
      <c r="B14" s="202">
        <v>1009</v>
      </c>
      <c r="C14" s="200" t="s">
        <v>226</v>
      </c>
      <c r="D14" s="200" t="s">
        <v>437</v>
      </c>
      <c r="E14" s="200" t="s">
        <v>471</v>
      </c>
      <c r="F14" s="128"/>
      <c r="G14" s="129">
        <v>0</v>
      </c>
      <c r="H14" s="130"/>
      <c r="I14" s="130"/>
      <c r="J14" s="129"/>
      <c r="K14" s="129"/>
      <c r="L14" s="129"/>
      <c r="M14" s="130"/>
      <c r="N14" s="207">
        <v>0</v>
      </c>
      <c r="O14" s="207">
        <v>0</v>
      </c>
      <c r="P14" s="207">
        <v>0</v>
      </c>
      <c r="Q14" s="207"/>
      <c r="R14" s="130"/>
      <c r="S14" s="207">
        <v>0</v>
      </c>
      <c r="T14" s="207">
        <v>0</v>
      </c>
      <c r="U14" s="132"/>
      <c r="V14" s="132"/>
      <c r="W14" s="132"/>
      <c r="X14" s="132"/>
      <c r="Y14" s="132"/>
      <c r="Z14" s="132"/>
      <c r="AA14" s="132"/>
      <c r="AB14" s="132"/>
      <c r="AC14" s="132"/>
      <c r="AE14" s="207">
        <v>0</v>
      </c>
      <c r="AF14" s="132"/>
      <c r="AG14" s="132"/>
    </row>
    <row r="15" spans="1:38" s="133" customFormat="1" ht="11.25" customHeight="1">
      <c r="A15" s="123">
        <v>10</v>
      </c>
      <c r="B15" s="202">
        <v>1010</v>
      </c>
      <c r="C15" s="200" t="s">
        <v>427</v>
      </c>
      <c r="D15" s="200" t="s">
        <v>438</v>
      </c>
      <c r="E15" s="200" t="s">
        <v>472</v>
      </c>
      <c r="F15" s="128">
        <v>32760</v>
      </c>
      <c r="G15" s="128">
        <v>850</v>
      </c>
      <c r="H15" s="130">
        <v>3000</v>
      </c>
      <c r="I15" s="130">
        <v>1500</v>
      </c>
      <c r="J15" s="129">
        <v>2500</v>
      </c>
      <c r="K15" s="129">
        <v>7850</v>
      </c>
      <c r="L15" s="129"/>
      <c r="M15" s="130"/>
      <c r="N15" s="207">
        <v>48460</v>
      </c>
      <c r="O15" s="207">
        <v>2713</v>
      </c>
      <c r="P15" s="207">
        <v>450</v>
      </c>
      <c r="Q15" s="207"/>
      <c r="R15" s="130"/>
      <c r="S15" s="207">
        <v>3163</v>
      </c>
      <c r="T15" s="207">
        <v>45297</v>
      </c>
      <c r="U15" s="132"/>
      <c r="V15" s="132"/>
      <c r="W15" s="132"/>
      <c r="X15" s="132"/>
      <c r="Y15" s="132"/>
      <c r="Z15" s="132"/>
      <c r="AA15" s="132"/>
      <c r="AB15" s="132"/>
      <c r="AC15" s="132"/>
      <c r="AE15" s="207">
        <v>45110</v>
      </c>
      <c r="AF15" s="132">
        <v>2378</v>
      </c>
      <c r="AG15" s="132">
        <v>335</v>
      </c>
    </row>
    <row r="16" spans="1:38" s="133" customFormat="1" ht="11.25" customHeight="1">
      <c r="A16" s="123">
        <v>11</v>
      </c>
      <c r="B16" s="202">
        <v>1011</v>
      </c>
      <c r="C16" s="200" t="s">
        <v>427</v>
      </c>
      <c r="D16" s="200" t="s">
        <v>439</v>
      </c>
      <c r="E16" s="200" t="s">
        <v>473</v>
      </c>
      <c r="F16" s="128">
        <v>7554</v>
      </c>
      <c r="G16" s="129">
        <v>0</v>
      </c>
      <c r="H16" s="130"/>
      <c r="I16" s="130"/>
      <c r="J16" s="129"/>
      <c r="K16" s="129"/>
      <c r="L16" s="129"/>
      <c r="M16" s="130"/>
      <c r="N16" s="207">
        <v>7554</v>
      </c>
      <c r="O16" s="207">
        <v>0</v>
      </c>
      <c r="P16" s="207">
        <v>227</v>
      </c>
      <c r="Q16" s="207"/>
      <c r="R16" s="130"/>
      <c r="S16" s="207">
        <v>227</v>
      </c>
      <c r="T16" s="207">
        <v>7327</v>
      </c>
      <c r="U16" s="132"/>
      <c r="V16" s="132"/>
      <c r="W16" s="132"/>
      <c r="X16" s="132"/>
      <c r="Y16" s="132"/>
      <c r="Z16" s="132"/>
      <c r="AA16" s="132"/>
      <c r="AB16" s="132"/>
      <c r="AC16" s="132"/>
      <c r="AE16" s="207">
        <v>7554</v>
      </c>
      <c r="AF16" s="132"/>
      <c r="AG16" s="132"/>
    </row>
    <row r="17" spans="1:33" s="133" customFormat="1" ht="11.25" customHeight="1">
      <c r="A17" s="123">
        <v>12</v>
      </c>
      <c r="B17" s="202">
        <v>1012</v>
      </c>
      <c r="C17" s="200" t="s">
        <v>173</v>
      </c>
      <c r="D17" s="200" t="s">
        <v>440</v>
      </c>
      <c r="E17" s="200" t="s">
        <v>474</v>
      </c>
      <c r="F17" s="128">
        <v>28000</v>
      </c>
      <c r="G17" s="129">
        <v>0</v>
      </c>
      <c r="H17" s="130"/>
      <c r="I17" s="130"/>
      <c r="J17" s="130">
        <v>1500</v>
      </c>
      <c r="K17" s="130">
        <v>1500</v>
      </c>
      <c r="L17" s="129"/>
      <c r="M17" s="130"/>
      <c r="N17" s="207">
        <v>31000</v>
      </c>
      <c r="O17" s="207">
        <v>1055</v>
      </c>
      <c r="P17" s="207">
        <v>450</v>
      </c>
      <c r="Q17" s="207"/>
      <c r="R17" s="130"/>
      <c r="S17" s="207">
        <v>1505</v>
      </c>
      <c r="T17" s="207">
        <v>29495</v>
      </c>
      <c r="U17" s="132"/>
      <c r="V17" s="132"/>
      <c r="W17" s="132"/>
      <c r="X17" s="132"/>
      <c r="Y17" s="132"/>
      <c r="Z17" s="132"/>
      <c r="AA17" s="132"/>
      <c r="AB17" s="132"/>
      <c r="AC17" s="132"/>
      <c r="AE17" s="207">
        <v>29500</v>
      </c>
      <c r="AF17" s="132">
        <v>905</v>
      </c>
      <c r="AG17" s="132">
        <v>150</v>
      </c>
    </row>
    <row r="18" spans="1:33" s="133" customFormat="1" ht="11.25" customHeight="1">
      <c r="A18" s="123">
        <v>13</v>
      </c>
      <c r="B18" s="202">
        <v>1013</v>
      </c>
      <c r="C18" s="200" t="s">
        <v>173</v>
      </c>
      <c r="D18" s="200" t="s">
        <v>441</v>
      </c>
      <c r="E18" s="200" t="s">
        <v>475</v>
      </c>
      <c r="F18" s="128">
        <v>17000</v>
      </c>
      <c r="G18" s="129">
        <v>0</v>
      </c>
      <c r="H18" s="130"/>
      <c r="I18" s="130"/>
      <c r="J18" s="130">
        <v>1500</v>
      </c>
      <c r="K18" s="130">
        <v>1500</v>
      </c>
      <c r="L18" s="129"/>
      <c r="M18" s="130"/>
      <c r="N18" s="207">
        <v>20000</v>
      </c>
      <c r="O18" s="207">
        <v>0</v>
      </c>
      <c r="P18" s="207">
        <v>450</v>
      </c>
      <c r="Q18" s="207"/>
      <c r="R18" s="130"/>
      <c r="S18" s="207">
        <v>450</v>
      </c>
      <c r="T18" s="207">
        <v>19550</v>
      </c>
      <c r="U18" s="132"/>
      <c r="V18" s="132"/>
      <c r="W18" s="132"/>
      <c r="X18" s="132"/>
      <c r="Y18" s="132"/>
      <c r="Z18" s="132"/>
      <c r="AA18" s="132"/>
      <c r="AB18" s="132"/>
      <c r="AC18" s="132"/>
      <c r="AE18" s="207">
        <v>18500</v>
      </c>
      <c r="AF18" s="132"/>
      <c r="AG18" s="132"/>
    </row>
    <row r="19" spans="1:33" s="133" customFormat="1" ht="11.25" customHeight="1">
      <c r="A19" s="123">
        <v>14</v>
      </c>
      <c r="B19" s="202">
        <v>1014</v>
      </c>
      <c r="C19" s="200" t="s">
        <v>427</v>
      </c>
      <c r="D19" s="200" t="s">
        <v>442</v>
      </c>
      <c r="E19" s="200" t="s">
        <v>476</v>
      </c>
      <c r="F19" s="128">
        <v>15000</v>
      </c>
      <c r="G19" s="128">
        <v>7554</v>
      </c>
      <c r="H19" s="130"/>
      <c r="I19" s="130"/>
      <c r="J19" s="129"/>
      <c r="K19" s="129"/>
      <c r="L19" s="129"/>
      <c r="M19" s="130"/>
      <c r="N19" s="207">
        <v>22554</v>
      </c>
      <c r="O19" s="207">
        <v>0</v>
      </c>
      <c r="P19" s="207">
        <v>450</v>
      </c>
      <c r="Q19" s="207"/>
      <c r="R19" s="130"/>
      <c r="S19" s="207">
        <v>450</v>
      </c>
      <c r="T19" s="207">
        <v>22104</v>
      </c>
      <c r="U19" s="132"/>
      <c r="V19" s="132"/>
      <c r="W19" s="132"/>
      <c r="X19" s="132"/>
      <c r="Y19" s="132"/>
      <c r="Z19" s="132"/>
      <c r="AA19" s="132"/>
      <c r="AB19" s="132"/>
      <c r="AC19" s="132"/>
      <c r="AE19" s="207">
        <v>15000</v>
      </c>
      <c r="AF19" s="132"/>
      <c r="AG19" s="132"/>
    </row>
    <row r="20" spans="1:33" s="133" customFormat="1" ht="11.25" customHeight="1">
      <c r="A20" s="123">
        <v>15</v>
      </c>
      <c r="B20" s="202">
        <v>1015</v>
      </c>
      <c r="C20" s="200" t="s">
        <v>173</v>
      </c>
      <c r="D20" s="200" t="s">
        <v>428</v>
      </c>
      <c r="E20" s="200" t="s">
        <v>477</v>
      </c>
      <c r="F20" s="128">
        <v>40000</v>
      </c>
      <c r="G20" s="128">
        <v>856</v>
      </c>
      <c r="H20" s="130"/>
      <c r="I20" s="130"/>
      <c r="J20" s="129"/>
      <c r="K20" s="129"/>
      <c r="L20" s="129"/>
      <c r="M20" s="130"/>
      <c r="N20" s="207">
        <v>40856</v>
      </c>
      <c r="O20" s="207">
        <v>2041</v>
      </c>
      <c r="P20" s="207">
        <v>450</v>
      </c>
      <c r="Q20" s="207"/>
      <c r="R20" s="130"/>
      <c r="S20" s="207">
        <v>2491</v>
      </c>
      <c r="T20" s="207">
        <v>38365</v>
      </c>
      <c r="U20" s="132"/>
      <c r="V20" s="132"/>
      <c r="W20" s="132"/>
      <c r="X20" s="132"/>
      <c r="Y20" s="132"/>
      <c r="Z20" s="132"/>
      <c r="AA20" s="132"/>
      <c r="AB20" s="132"/>
      <c r="AC20" s="132"/>
      <c r="AE20" s="207">
        <v>40000</v>
      </c>
      <c r="AF20" s="132">
        <v>1955</v>
      </c>
      <c r="AG20" s="132">
        <v>86</v>
      </c>
    </row>
    <row r="21" spans="1:33" s="133" customFormat="1" ht="11.25" customHeight="1">
      <c r="A21" s="123">
        <v>16</v>
      </c>
      <c r="B21" s="202">
        <v>1016</v>
      </c>
      <c r="C21" s="200" t="s">
        <v>173</v>
      </c>
      <c r="D21" s="200" t="s">
        <v>429</v>
      </c>
      <c r="E21" s="200" t="s">
        <v>478</v>
      </c>
      <c r="F21" s="128">
        <v>32760</v>
      </c>
      <c r="G21" s="128">
        <v>4588</v>
      </c>
      <c r="H21" s="130">
        <v>3000</v>
      </c>
      <c r="I21" s="130"/>
      <c r="J21" s="129"/>
      <c r="K21" s="129"/>
      <c r="L21" s="129"/>
      <c r="M21" s="130"/>
      <c r="N21" s="207">
        <v>40348</v>
      </c>
      <c r="O21" s="207">
        <v>1990</v>
      </c>
      <c r="P21" s="207">
        <v>450</v>
      </c>
      <c r="Q21" s="207"/>
      <c r="R21" s="130"/>
      <c r="S21" s="207">
        <v>2440</v>
      </c>
      <c r="T21" s="207">
        <v>37908</v>
      </c>
      <c r="U21" s="132"/>
      <c r="V21" s="132"/>
      <c r="W21" s="132"/>
      <c r="X21" s="132"/>
      <c r="Y21" s="132"/>
      <c r="Z21" s="132"/>
      <c r="AA21" s="132"/>
      <c r="AB21" s="132"/>
      <c r="AC21" s="132"/>
      <c r="AE21" s="207">
        <v>35760</v>
      </c>
      <c r="AF21" s="132">
        <v>1531</v>
      </c>
      <c r="AG21" s="132">
        <v>459</v>
      </c>
    </row>
    <row r="22" spans="1:33" s="133" customFormat="1" ht="11.25" customHeight="1">
      <c r="A22" s="123">
        <v>17</v>
      </c>
      <c r="B22" s="202">
        <v>1017</v>
      </c>
      <c r="C22" s="200" t="s">
        <v>173</v>
      </c>
      <c r="D22" s="200" t="s">
        <v>430</v>
      </c>
      <c r="E22" s="200" t="s">
        <v>479</v>
      </c>
      <c r="F22" s="128">
        <v>18550</v>
      </c>
      <c r="G22" s="128">
        <v>2356</v>
      </c>
      <c r="H22" s="130">
        <v>1500</v>
      </c>
      <c r="I22" s="130">
        <v>1500</v>
      </c>
      <c r="J22" s="129"/>
      <c r="K22" s="129"/>
      <c r="L22" s="129"/>
      <c r="M22" s="130"/>
      <c r="N22" s="207">
        <v>23906</v>
      </c>
      <c r="O22" s="207">
        <v>346</v>
      </c>
      <c r="P22" s="207">
        <v>450</v>
      </c>
      <c r="Q22" s="207"/>
      <c r="R22" s="130"/>
      <c r="S22" s="207">
        <v>796</v>
      </c>
      <c r="T22" s="207">
        <v>23110</v>
      </c>
      <c r="U22" s="132"/>
      <c r="V22" s="132"/>
      <c r="W22" s="132"/>
      <c r="X22" s="132"/>
      <c r="Y22" s="132"/>
      <c r="Z22" s="132"/>
      <c r="AA22" s="132"/>
      <c r="AB22" s="132"/>
      <c r="AC22" s="132"/>
      <c r="AE22" s="207">
        <v>21550</v>
      </c>
      <c r="AF22" s="132">
        <v>110</v>
      </c>
      <c r="AG22" s="132">
        <v>236</v>
      </c>
    </row>
    <row r="23" spans="1:33" s="133" customFormat="1" ht="11.25" customHeight="1">
      <c r="A23" s="123">
        <v>18</v>
      </c>
      <c r="B23" s="202">
        <v>1018</v>
      </c>
      <c r="C23" s="200" t="s">
        <v>173</v>
      </c>
      <c r="D23" s="200" t="s">
        <v>431</v>
      </c>
      <c r="E23" s="200" t="s">
        <v>480</v>
      </c>
      <c r="F23" s="128">
        <v>18550</v>
      </c>
      <c r="G23" s="129">
        <v>0</v>
      </c>
      <c r="H23" s="130">
        <v>1500</v>
      </c>
      <c r="I23" s="130">
        <v>1500</v>
      </c>
      <c r="J23" s="129"/>
      <c r="K23" s="129"/>
      <c r="L23" s="129"/>
      <c r="M23" s="130"/>
      <c r="N23" s="207">
        <v>21550</v>
      </c>
      <c r="O23" s="207">
        <v>110</v>
      </c>
      <c r="P23" s="207">
        <v>450</v>
      </c>
      <c r="Q23" s="207"/>
      <c r="R23" s="130"/>
      <c r="S23" s="207">
        <v>560</v>
      </c>
      <c r="T23" s="207">
        <v>20990</v>
      </c>
      <c r="U23" s="132"/>
      <c r="V23" s="132"/>
      <c r="W23" s="132"/>
      <c r="X23" s="132"/>
      <c r="Y23" s="132"/>
      <c r="Z23" s="132"/>
      <c r="AA23" s="132"/>
      <c r="AB23" s="132"/>
      <c r="AC23" s="132"/>
      <c r="AE23" s="207">
        <v>21550</v>
      </c>
      <c r="AF23" s="132">
        <v>110</v>
      </c>
      <c r="AG23" s="132">
        <v>0</v>
      </c>
    </row>
    <row r="24" spans="1:33" s="133" customFormat="1" ht="11.25" customHeight="1">
      <c r="A24" s="123">
        <v>19</v>
      </c>
      <c r="B24" s="202">
        <v>1019</v>
      </c>
      <c r="C24" s="200" t="s">
        <v>173</v>
      </c>
      <c r="D24" s="200" t="s">
        <v>432</v>
      </c>
      <c r="E24" s="200" t="s">
        <v>481</v>
      </c>
      <c r="F24" s="128">
        <v>35000</v>
      </c>
      <c r="G24" s="129">
        <v>0</v>
      </c>
      <c r="H24" s="130">
        <v>1500</v>
      </c>
      <c r="I24" s="130">
        <v>1500</v>
      </c>
      <c r="J24" s="129"/>
      <c r="K24" s="129"/>
      <c r="L24" s="129"/>
      <c r="M24" s="130"/>
      <c r="N24" s="207">
        <v>38000</v>
      </c>
      <c r="O24" s="207">
        <v>1755</v>
      </c>
      <c r="P24" s="207">
        <v>450</v>
      </c>
      <c r="Q24" s="207"/>
      <c r="R24" s="130"/>
      <c r="S24" s="207">
        <v>2205</v>
      </c>
      <c r="T24" s="207">
        <v>35795</v>
      </c>
      <c r="U24" s="132"/>
      <c r="V24" s="132"/>
      <c r="W24" s="132"/>
      <c r="X24" s="132"/>
      <c r="Y24" s="132"/>
      <c r="Z24" s="132"/>
      <c r="AA24" s="132"/>
      <c r="AB24" s="132"/>
      <c r="AC24" s="132"/>
      <c r="AE24" s="207">
        <v>38000</v>
      </c>
      <c r="AF24" s="132">
        <v>1755</v>
      </c>
      <c r="AG24" s="132">
        <v>0</v>
      </c>
    </row>
    <row r="25" spans="1:33" s="133" customFormat="1" ht="11.25" customHeight="1">
      <c r="A25" s="123"/>
      <c r="B25" s="202"/>
      <c r="C25" s="200"/>
      <c r="D25" s="200"/>
      <c r="E25" s="200"/>
      <c r="F25" s="128"/>
      <c r="G25" s="129"/>
      <c r="H25" s="130"/>
      <c r="I25" s="130"/>
      <c r="J25" s="129"/>
      <c r="K25" s="129"/>
      <c r="L25" s="129"/>
      <c r="M25" s="130"/>
      <c r="N25" s="207">
        <v>0</v>
      </c>
      <c r="O25" s="207">
        <v>0</v>
      </c>
      <c r="P25" s="207">
        <v>0</v>
      </c>
      <c r="Q25" s="207"/>
      <c r="R25" s="130"/>
      <c r="S25" s="207">
        <v>0</v>
      </c>
      <c r="T25" s="207">
        <v>0</v>
      </c>
      <c r="U25" s="132"/>
      <c r="V25" s="132"/>
      <c r="W25" s="132"/>
      <c r="X25" s="132"/>
      <c r="Y25" s="132"/>
      <c r="Z25" s="132"/>
      <c r="AA25" s="132"/>
      <c r="AB25" s="132"/>
      <c r="AC25" s="132"/>
      <c r="AE25" s="207">
        <v>0</v>
      </c>
      <c r="AF25" s="132"/>
      <c r="AG25" s="132"/>
    </row>
    <row r="26" spans="1:33" s="133" customFormat="1" ht="11.25" customHeight="1">
      <c r="A26" s="123"/>
      <c r="B26" s="202"/>
      <c r="C26" s="200"/>
      <c r="D26" s="200"/>
      <c r="E26" s="200"/>
      <c r="F26" s="128"/>
      <c r="G26" s="129"/>
      <c r="H26" s="130"/>
      <c r="I26" s="130"/>
      <c r="J26" s="129"/>
      <c r="K26" s="129"/>
      <c r="L26" s="129"/>
      <c r="M26" s="130"/>
      <c r="N26" s="207">
        <v>0</v>
      </c>
      <c r="O26" s="207">
        <v>0</v>
      </c>
      <c r="P26" s="207">
        <v>0</v>
      </c>
      <c r="Q26" s="207"/>
      <c r="R26" s="130"/>
      <c r="S26" s="207">
        <v>0</v>
      </c>
      <c r="T26" s="207">
        <v>0</v>
      </c>
      <c r="U26" s="132"/>
      <c r="V26" s="132"/>
      <c r="W26" s="132"/>
      <c r="X26" s="132"/>
      <c r="Y26" s="132"/>
      <c r="Z26" s="132"/>
      <c r="AA26" s="132"/>
      <c r="AB26" s="132"/>
      <c r="AC26" s="132"/>
      <c r="AE26" s="207">
        <v>0</v>
      </c>
      <c r="AF26" s="132"/>
      <c r="AG26" s="132"/>
    </row>
    <row r="27" spans="1:33" s="133" customFormat="1" ht="11.25" customHeight="1">
      <c r="A27" s="123"/>
      <c r="B27" s="202"/>
      <c r="C27" s="200"/>
      <c r="D27" s="200"/>
      <c r="E27" s="200"/>
      <c r="F27" s="128"/>
      <c r="G27" s="129"/>
      <c r="H27" s="130"/>
      <c r="I27" s="130"/>
      <c r="J27" s="129"/>
      <c r="K27" s="129"/>
      <c r="L27" s="129"/>
      <c r="M27" s="130"/>
      <c r="N27" s="207">
        <v>0</v>
      </c>
      <c r="O27" s="207">
        <v>0</v>
      </c>
      <c r="P27" s="207">
        <v>0</v>
      </c>
      <c r="Q27" s="207"/>
      <c r="R27" s="130"/>
      <c r="S27" s="207">
        <v>0</v>
      </c>
      <c r="T27" s="207">
        <v>0</v>
      </c>
      <c r="U27" s="132"/>
      <c r="V27" s="132"/>
      <c r="W27" s="132"/>
      <c r="X27" s="132"/>
      <c r="Y27" s="132"/>
      <c r="Z27" s="132"/>
      <c r="AA27" s="132"/>
      <c r="AB27" s="132"/>
      <c r="AC27" s="132"/>
      <c r="AE27" s="207">
        <v>0</v>
      </c>
      <c r="AF27" s="132"/>
      <c r="AG27" s="132"/>
    </row>
    <row r="28" spans="1:33" s="133" customFormat="1" ht="11.25" customHeight="1">
      <c r="A28" s="123"/>
      <c r="B28" s="202"/>
      <c r="C28" s="200"/>
      <c r="D28" s="200"/>
      <c r="E28" s="200"/>
      <c r="F28" s="128"/>
      <c r="G28" s="129"/>
      <c r="H28" s="130"/>
      <c r="I28" s="130"/>
      <c r="J28" s="129"/>
      <c r="K28" s="129"/>
      <c r="L28" s="129"/>
      <c r="M28" s="130"/>
      <c r="N28" s="207"/>
      <c r="O28" s="207"/>
      <c r="P28" s="207"/>
      <c r="Q28" s="207"/>
      <c r="R28" s="130"/>
      <c r="S28" s="207"/>
      <c r="T28" s="207"/>
      <c r="U28" s="132"/>
      <c r="V28" s="132"/>
      <c r="W28" s="132"/>
      <c r="X28" s="132"/>
      <c r="Y28" s="132"/>
      <c r="Z28" s="132"/>
      <c r="AA28" s="132"/>
      <c r="AB28" s="132"/>
      <c r="AC28" s="132"/>
      <c r="AE28" s="207">
        <v>0</v>
      </c>
      <c r="AF28" s="132"/>
      <c r="AG28" s="132"/>
    </row>
    <row r="29" spans="1:33" s="133" customFormat="1" ht="15" customHeight="1" thickBot="1">
      <c r="A29" s="166"/>
      <c r="B29" s="167"/>
      <c r="C29" s="168"/>
      <c r="D29" s="169"/>
      <c r="E29" s="170"/>
      <c r="F29" s="171">
        <v>460582</v>
      </c>
      <c r="G29" s="171">
        <v>17016.5</v>
      </c>
      <c r="H29" s="171">
        <v>13000</v>
      </c>
      <c r="I29" s="171">
        <v>7500</v>
      </c>
      <c r="J29" s="171">
        <v>8000</v>
      </c>
      <c r="K29" s="171">
        <v>14350</v>
      </c>
      <c r="L29" s="171">
        <v>4500</v>
      </c>
      <c r="M29" s="171">
        <v>5500</v>
      </c>
      <c r="N29" s="171">
        <v>530448.5</v>
      </c>
      <c r="O29" s="171">
        <v>43339</v>
      </c>
      <c r="P29" s="171">
        <v>5972</v>
      </c>
      <c r="Q29" s="171">
        <v>0</v>
      </c>
      <c r="R29" s="171">
        <v>0</v>
      </c>
      <c r="S29" s="171">
        <v>49311</v>
      </c>
      <c r="T29" s="171">
        <v>481137.5</v>
      </c>
      <c r="U29" s="132"/>
      <c r="V29" s="132"/>
      <c r="W29" s="132"/>
      <c r="X29" s="132"/>
      <c r="Y29" s="132"/>
      <c r="Z29" s="132"/>
      <c r="AA29" s="132"/>
      <c r="AB29" s="132"/>
    </row>
    <row r="30" spans="1:33" s="133" customFormat="1" ht="15" customHeight="1" thickTop="1">
      <c r="A30" s="172"/>
      <c r="B30" s="164"/>
      <c r="C30" s="164"/>
      <c r="D30" s="165"/>
      <c r="E30" s="165"/>
      <c r="F30" s="131"/>
      <c r="G30" s="131"/>
      <c r="H30" s="131"/>
      <c r="I30" s="131"/>
      <c r="J30" s="131"/>
      <c r="K30" s="131"/>
      <c r="L30" s="131"/>
      <c r="M30" s="173"/>
      <c r="N30" s="131"/>
      <c r="O30" s="131"/>
      <c r="P30" s="131"/>
      <c r="Q30" s="131"/>
      <c r="R30" s="131"/>
      <c r="S30" s="131"/>
      <c r="T30" s="131"/>
      <c r="U30" s="132"/>
      <c r="V30" s="132"/>
      <c r="W30" s="132"/>
      <c r="X30" s="132"/>
      <c r="Y30" s="132"/>
      <c r="Z30" s="132"/>
      <c r="AA30" s="132"/>
      <c r="AB30" s="132"/>
    </row>
  </sheetData>
  <phoneticPr fontId="81" type="noConversion"/>
  <pageMargins left="0.75" right="0.75" top="1" bottom="1" header="0.5" footer="0.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5">
    <tabColor indexed="12"/>
  </sheetPr>
  <dimension ref="A1:AL30"/>
  <sheetViews>
    <sheetView workbookViewId="0"/>
  </sheetViews>
  <sheetFormatPr defaultRowHeight="21.75"/>
  <cols>
    <col min="1" max="1" width="5.140625" style="174" customWidth="1"/>
    <col min="2" max="2" width="5.85546875" style="175" customWidth="1"/>
    <col min="3" max="3" width="4.7109375" style="175" bestFit="1" customWidth="1"/>
    <col min="4" max="4" width="10.42578125" style="177" customWidth="1"/>
    <col min="5" max="5" width="15.7109375" style="177" bestFit="1" customWidth="1"/>
    <col min="6" max="6" width="11.5703125" style="176" customWidth="1"/>
    <col min="7" max="7" width="10.7109375" style="176" customWidth="1"/>
    <col min="8" max="8" width="11.28515625" style="176" customWidth="1"/>
    <col min="9" max="11" width="9.28515625" style="176" customWidth="1"/>
    <col min="12" max="12" width="10.7109375" style="176" customWidth="1"/>
    <col min="13" max="13" width="10.140625" style="176" customWidth="1"/>
    <col min="14" max="14" width="11.7109375" style="176" customWidth="1"/>
    <col min="15" max="15" width="14.28515625" style="176" bestFit="1" customWidth="1"/>
    <col min="16" max="16" width="10.5703125" style="176" bestFit="1" customWidth="1"/>
    <col min="17" max="17" width="12.140625" style="176" bestFit="1" customWidth="1"/>
    <col min="18" max="18" width="11.42578125" style="176" customWidth="1"/>
    <col min="19" max="19" width="10.7109375" style="176" customWidth="1"/>
    <col min="20" max="20" width="13.7109375" style="176" customWidth="1"/>
    <col min="21" max="21" width="10.140625" style="176" customWidth="1"/>
    <col min="22" max="28" width="5.7109375" style="176" customWidth="1"/>
    <col min="29" max="29" width="5.7109375" style="177" customWidth="1"/>
    <col min="30" max="30" width="5.7109375" customWidth="1"/>
    <col min="31" max="33" width="11.7109375" style="177" customWidth="1"/>
    <col min="34" max="34" width="9.28515625" style="177" customWidth="1"/>
    <col min="35" max="35" width="8.42578125" style="177" customWidth="1"/>
    <col min="36" max="36" width="11" style="177" customWidth="1"/>
    <col min="37" max="38" width="10.140625" style="177" customWidth="1"/>
    <col min="39" max="39" width="9.28515625" style="177" customWidth="1"/>
    <col min="40" max="16384" width="9.140625" style="177"/>
  </cols>
  <sheetData>
    <row r="1" spans="1:38" s="141" customFormat="1" ht="14.25">
      <c r="A1" s="139" t="s">
        <v>370</v>
      </c>
      <c r="B1" s="140"/>
      <c r="C1" s="140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</row>
    <row r="2" spans="1:38" s="141" customFormat="1" ht="14.25">
      <c r="A2" s="143" t="s">
        <v>457</v>
      </c>
      <c r="B2" s="140"/>
      <c r="C2" s="140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4">
        <v>40923</v>
      </c>
      <c r="U2" s="142"/>
      <c r="V2" s="142"/>
      <c r="W2" s="142"/>
      <c r="X2" s="142"/>
      <c r="Y2" s="142"/>
      <c r="Z2" s="142"/>
      <c r="AA2" s="142"/>
      <c r="AB2" s="142"/>
      <c r="AC2" s="146"/>
      <c r="AE2" s="307" t="s">
        <v>222</v>
      </c>
      <c r="AF2" s="307" t="s">
        <v>53</v>
      </c>
      <c r="AG2" s="307" t="s">
        <v>53</v>
      </c>
      <c r="AH2" s="146"/>
      <c r="AI2" s="146"/>
      <c r="AJ2" s="146"/>
      <c r="AK2" s="146"/>
      <c r="AL2" s="146"/>
    </row>
    <row r="3" spans="1:38" s="141" customFormat="1" ht="8.25" customHeight="1">
      <c r="A3" s="139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39"/>
      <c r="AB3" s="139"/>
      <c r="AC3" s="139"/>
      <c r="AD3" s="139"/>
      <c r="AE3" s="308"/>
      <c r="AF3" s="308"/>
      <c r="AG3" s="308"/>
    </row>
    <row r="4" spans="1:38" s="156" customFormat="1" ht="18" customHeight="1">
      <c r="A4" s="147" t="s">
        <v>123</v>
      </c>
      <c r="B4" s="148" t="s">
        <v>180</v>
      </c>
      <c r="C4" s="149" t="s">
        <v>185</v>
      </c>
      <c r="D4" s="150" t="s">
        <v>80</v>
      </c>
      <c r="E4" s="151" t="s">
        <v>184</v>
      </c>
      <c r="F4" s="152" t="s">
        <v>178</v>
      </c>
      <c r="G4" s="153"/>
      <c r="H4" s="153"/>
      <c r="I4" s="153"/>
      <c r="J4" s="153"/>
      <c r="K4" s="153"/>
      <c r="L4" s="153"/>
      <c r="M4" s="153"/>
      <c r="N4" s="153"/>
      <c r="O4" s="153" t="s">
        <v>179</v>
      </c>
      <c r="P4" s="153"/>
      <c r="Q4" s="153"/>
      <c r="R4" s="153"/>
      <c r="S4" s="153"/>
      <c r="T4" s="154" t="s">
        <v>56</v>
      </c>
      <c r="U4" s="155"/>
      <c r="V4" s="155"/>
      <c r="W4" s="155"/>
      <c r="X4" s="155"/>
      <c r="Y4" s="155"/>
      <c r="Z4" s="155"/>
      <c r="AA4" s="155"/>
      <c r="AB4" s="155"/>
      <c r="AC4" s="157"/>
      <c r="AE4" s="309" t="s">
        <v>223</v>
      </c>
      <c r="AF4" s="309" t="s">
        <v>311</v>
      </c>
      <c r="AG4" s="309" t="s">
        <v>311</v>
      </c>
      <c r="AH4" s="157"/>
      <c r="AI4" s="157"/>
      <c r="AJ4" s="157"/>
      <c r="AK4" s="157"/>
      <c r="AL4" s="157"/>
    </row>
    <row r="5" spans="1:38" s="214" customFormat="1" ht="11.25">
      <c r="A5" s="158" t="s">
        <v>129</v>
      </c>
      <c r="B5" s="159"/>
      <c r="C5" s="160" t="s">
        <v>186</v>
      </c>
      <c r="D5" s="161"/>
      <c r="E5" s="162"/>
      <c r="F5" s="163" t="s">
        <v>321</v>
      </c>
      <c r="G5" s="138" t="s">
        <v>51</v>
      </c>
      <c r="H5" s="138" t="s">
        <v>425</v>
      </c>
      <c r="I5" s="138" t="s">
        <v>426</v>
      </c>
      <c r="J5" s="138" t="s">
        <v>519</v>
      </c>
      <c r="K5" s="138" t="s">
        <v>455</v>
      </c>
      <c r="L5" s="138" t="s">
        <v>369</v>
      </c>
      <c r="M5" s="138" t="s">
        <v>55</v>
      </c>
      <c r="N5" s="320" t="s">
        <v>60</v>
      </c>
      <c r="O5" s="320" t="s">
        <v>181</v>
      </c>
      <c r="P5" s="320" t="s">
        <v>58</v>
      </c>
      <c r="Q5" s="320" t="s">
        <v>183</v>
      </c>
      <c r="R5" s="138" t="s">
        <v>55</v>
      </c>
      <c r="S5" s="320" t="s">
        <v>322</v>
      </c>
      <c r="T5" s="321"/>
      <c r="U5" s="213"/>
      <c r="V5" s="213"/>
      <c r="W5" s="213"/>
      <c r="X5" s="213"/>
      <c r="Y5" s="213"/>
      <c r="Z5" s="213"/>
      <c r="AA5" s="213"/>
      <c r="AB5" s="213"/>
      <c r="AE5" s="310" t="s">
        <v>58</v>
      </c>
      <c r="AF5" s="310" t="s">
        <v>222</v>
      </c>
      <c r="AG5" s="310" t="s">
        <v>312</v>
      </c>
    </row>
    <row r="6" spans="1:38" s="133" customFormat="1" ht="11.25" customHeight="1">
      <c r="A6" s="123">
        <v>1</v>
      </c>
      <c r="B6" s="202">
        <v>1001</v>
      </c>
      <c r="C6" s="200" t="s">
        <v>427</v>
      </c>
      <c r="D6" s="200" t="s">
        <v>429</v>
      </c>
      <c r="E6" s="200" t="s">
        <v>463</v>
      </c>
      <c r="F6" s="128">
        <v>150000</v>
      </c>
      <c r="G6" s="129">
        <v>1500</v>
      </c>
      <c r="H6" s="130">
        <v>2500</v>
      </c>
      <c r="I6" s="130">
        <v>1500</v>
      </c>
      <c r="J6" s="129">
        <v>2500</v>
      </c>
      <c r="K6" s="129">
        <v>3500</v>
      </c>
      <c r="L6" s="129">
        <v>4500</v>
      </c>
      <c r="M6" s="130">
        <v>5500</v>
      </c>
      <c r="N6" s="207">
        <v>171500</v>
      </c>
      <c r="O6" s="207">
        <v>31690</v>
      </c>
      <c r="P6" s="207">
        <v>450</v>
      </c>
      <c r="Q6" s="207"/>
      <c r="R6" s="130"/>
      <c r="S6" s="207">
        <v>32140</v>
      </c>
      <c r="T6" s="207">
        <v>139360</v>
      </c>
      <c r="U6" s="132"/>
      <c r="V6" s="132"/>
      <c r="W6" s="132"/>
      <c r="X6" s="132"/>
      <c r="Y6" s="132"/>
      <c r="Z6" s="132"/>
      <c r="AA6" s="132"/>
      <c r="AB6" s="132"/>
      <c r="AC6" s="132"/>
      <c r="AE6" s="207">
        <v>157500</v>
      </c>
      <c r="AF6" s="132">
        <v>27490</v>
      </c>
      <c r="AG6" s="132">
        <v>4200</v>
      </c>
    </row>
    <row r="7" spans="1:38" s="133" customFormat="1" ht="11.25" customHeight="1">
      <c r="A7" s="123">
        <v>2</v>
      </c>
      <c r="B7" s="202">
        <v>1002</v>
      </c>
      <c r="C7" s="200" t="s">
        <v>427</v>
      </c>
      <c r="D7" s="200" t="s">
        <v>430</v>
      </c>
      <c r="E7" s="200" t="s">
        <v>464</v>
      </c>
      <c r="F7" s="128">
        <v>85000</v>
      </c>
      <c r="G7" s="129">
        <v>1000</v>
      </c>
      <c r="H7" s="130">
        <v>2000</v>
      </c>
      <c r="I7" s="130">
        <v>3000</v>
      </c>
      <c r="J7" s="130">
        <v>4000</v>
      </c>
      <c r="K7" s="130">
        <v>5000</v>
      </c>
      <c r="L7" s="130">
        <v>6000</v>
      </c>
      <c r="M7" s="130">
        <v>7000</v>
      </c>
      <c r="N7" s="207">
        <v>113000</v>
      </c>
      <c r="O7" s="207">
        <v>17340</v>
      </c>
      <c r="P7" s="207">
        <v>450</v>
      </c>
      <c r="Q7" s="207"/>
      <c r="R7" s="130"/>
      <c r="S7" s="207">
        <v>17790</v>
      </c>
      <c r="T7" s="207">
        <v>95210</v>
      </c>
      <c r="U7" s="132"/>
      <c r="V7" s="132"/>
      <c r="W7" s="132"/>
      <c r="X7" s="132"/>
      <c r="Y7" s="132"/>
      <c r="Z7" s="132"/>
      <c r="AA7" s="132"/>
      <c r="AB7" s="132"/>
      <c r="AC7" s="132"/>
      <c r="AE7" s="207">
        <v>95000</v>
      </c>
      <c r="AF7" s="132">
        <v>11940</v>
      </c>
      <c r="AG7" s="132">
        <v>5400</v>
      </c>
    </row>
    <row r="8" spans="1:38" s="133" customFormat="1" ht="11.25" customHeight="1">
      <c r="A8" s="123">
        <v>3</v>
      </c>
      <c r="B8" s="202">
        <v>1003</v>
      </c>
      <c r="C8" s="200" t="s">
        <v>427</v>
      </c>
      <c r="D8" s="200" t="s">
        <v>431</v>
      </c>
      <c r="E8" s="200" t="s">
        <v>465</v>
      </c>
      <c r="F8" s="128">
        <v>12000</v>
      </c>
      <c r="G8" s="129">
        <v>0</v>
      </c>
      <c r="H8" s="130">
        <v>0</v>
      </c>
      <c r="I8" s="130"/>
      <c r="J8" s="129"/>
      <c r="K8" s="129"/>
      <c r="L8" s="129"/>
      <c r="M8" s="130"/>
      <c r="N8" s="207">
        <v>12000</v>
      </c>
      <c r="O8" s="207">
        <v>0</v>
      </c>
      <c r="P8" s="207">
        <v>360</v>
      </c>
      <c r="Q8" s="207"/>
      <c r="R8" s="130"/>
      <c r="S8" s="207">
        <v>360</v>
      </c>
      <c r="T8" s="207">
        <v>11640</v>
      </c>
      <c r="U8" s="132"/>
      <c r="V8" s="132"/>
      <c r="W8" s="132"/>
      <c r="X8" s="132"/>
      <c r="Y8" s="132"/>
      <c r="Z8" s="132"/>
      <c r="AA8" s="132"/>
      <c r="AB8" s="132"/>
      <c r="AC8" s="132"/>
      <c r="AE8" s="207">
        <v>12000</v>
      </c>
      <c r="AF8" s="132"/>
      <c r="AG8" s="132"/>
    </row>
    <row r="9" spans="1:38" s="133" customFormat="1" ht="11.25" customHeight="1">
      <c r="A9" s="123">
        <v>4</v>
      </c>
      <c r="B9" s="202">
        <v>1004</v>
      </c>
      <c r="C9" s="200" t="s">
        <v>173</v>
      </c>
      <c r="D9" s="200" t="s">
        <v>432</v>
      </c>
      <c r="E9" s="200" t="s">
        <v>466</v>
      </c>
      <c r="F9" s="128">
        <v>38896</v>
      </c>
      <c r="G9" s="129">
        <v>0</v>
      </c>
      <c r="H9" s="130"/>
      <c r="I9" s="130"/>
      <c r="J9" s="129"/>
      <c r="K9" s="129"/>
      <c r="L9" s="129"/>
      <c r="M9" s="130"/>
      <c r="N9" s="207">
        <v>38896</v>
      </c>
      <c r="O9" s="207">
        <v>1845</v>
      </c>
      <c r="P9" s="207">
        <v>450</v>
      </c>
      <c r="Q9" s="207"/>
      <c r="R9" s="130"/>
      <c r="S9" s="207">
        <v>2295</v>
      </c>
      <c r="T9" s="207">
        <v>36601</v>
      </c>
      <c r="U9" s="132"/>
      <c r="V9" s="132"/>
      <c r="W9" s="132"/>
      <c r="X9" s="132"/>
      <c r="Y9" s="132"/>
      <c r="Z9" s="132"/>
      <c r="AA9" s="132"/>
      <c r="AB9" s="132"/>
      <c r="AC9" s="132"/>
      <c r="AE9" s="207">
        <v>38896</v>
      </c>
      <c r="AF9" s="132">
        <v>1845</v>
      </c>
      <c r="AG9" s="132">
        <v>0</v>
      </c>
    </row>
    <row r="10" spans="1:38" s="133" customFormat="1" ht="11.25" customHeight="1">
      <c r="A10" s="123">
        <v>5</v>
      </c>
      <c r="B10" s="202">
        <v>1005</v>
      </c>
      <c r="C10" s="200" t="s">
        <v>427</v>
      </c>
      <c r="D10" s="200" t="s">
        <v>433</v>
      </c>
      <c r="E10" s="200" t="s">
        <v>467</v>
      </c>
      <c r="F10" s="128"/>
      <c r="G10" s="129">
        <v>0</v>
      </c>
      <c r="H10" s="130"/>
      <c r="I10" s="130"/>
      <c r="J10" s="129"/>
      <c r="K10" s="129"/>
      <c r="L10" s="129"/>
      <c r="M10" s="130"/>
      <c r="N10" s="207">
        <v>0</v>
      </c>
      <c r="O10" s="207">
        <v>0</v>
      </c>
      <c r="P10" s="207">
        <v>0</v>
      </c>
      <c r="Q10" s="207"/>
      <c r="R10" s="130"/>
      <c r="S10" s="207">
        <v>0</v>
      </c>
      <c r="T10" s="207">
        <v>0</v>
      </c>
      <c r="U10" s="132"/>
      <c r="V10" s="132"/>
      <c r="W10" s="132"/>
      <c r="X10" s="132"/>
      <c r="Y10" s="132"/>
      <c r="Z10" s="132"/>
      <c r="AA10" s="132"/>
      <c r="AB10" s="132"/>
      <c r="AC10" s="132"/>
      <c r="AE10" s="207">
        <v>0</v>
      </c>
      <c r="AF10" s="132"/>
      <c r="AG10" s="132"/>
    </row>
    <row r="11" spans="1:38" s="133" customFormat="1" ht="11.25" customHeight="1">
      <c r="A11" s="123">
        <v>6</v>
      </c>
      <c r="B11" s="202">
        <v>1006</v>
      </c>
      <c r="C11" s="200" t="s">
        <v>173</v>
      </c>
      <c r="D11" s="200" t="s">
        <v>434</v>
      </c>
      <c r="E11" s="200" t="s">
        <v>468</v>
      </c>
      <c r="F11" s="128"/>
      <c r="G11" s="129">
        <v>0</v>
      </c>
      <c r="H11" s="130"/>
      <c r="I11" s="130"/>
      <c r="J11" s="129"/>
      <c r="K11" s="129"/>
      <c r="L11" s="129"/>
      <c r="M11" s="130"/>
      <c r="N11" s="207">
        <v>0</v>
      </c>
      <c r="O11" s="207">
        <v>0</v>
      </c>
      <c r="P11" s="207">
        <v>0</v>
      </c>
      <c r="Q11" s="207"/>
      <c r="R11" s="130"/>
      <c r="S11" s="207">
        <v>0</v>
      </c>
      <c r="T11" s="207">
        <v>0</v>
      </c>
      <c r="U11" s="132"/>
      <c r="V11" s="132"/>
      <c r="W11" s="132"/>
      <c r="X11" s="132"/>
      <c r="Y11" s="132"/>
      <c r="Z11" s="132"/>
      <c r="AA11" s="132"/>
      <c r="AB11" s="132"/>
      <c r="AC11" s="132"/>
      <c r="AE11" s="207">
        <v>0</v>
      </c>
      <c r="AF11" s="132"/>
      <c r="AG11" s="132"/>
    </row>
    <row r="12" spans="1:38" s="133" customFormat="1" ht="11.25" customHeight="1">
      <c r="A12" s="123">
        <v>7</v>
      </c>
      <c r="B12" s="202">
        <v>1007</v>
      </c>
      <c r="C12" s="200" t="s">
        <v>226</v>
      </c>
      <c r="D12" s="200" t="s">
        <v>435</v>
      </c>
      <c r="E12" s="200" t="s">
        <v>469</v>
      </c>
      <c r="F12" s="128"/>
      <c r="G12" s="129">
        <v>0</v>
      </c>
      <c r="H12" s="130"/>
      <c r="I12" s="130"/>
      <c r="J12" s="129"/>
      <c r="K12" s="129"/>
      <c r="L12" s="129"/>
      <c r="M12" s="130"/>
      <c r="N12" s="207">
        <v>0</v>
      </c>
      <c r="O12" s="207">
        <v>0</v>
      </c>
      <c r="P12" s="207">
        <v>0</v>
      </c>
      <c r="Q12" s="207"/>
      <c r="R12" s="130"/>
      <c r="S12" s="207">
        <v>0</v>
      </c>
      <c r="T12" s="207">
        <v>0</v>
      </c>
      <c r="U12" s="132"/>
      <c r="V12" s="132"/>
      <c r="W12" s="132"/>
      <c r="X12" s="132"/>
      <c r="Y12" s="132"/>
      <c r="Z12" s="132"/>
      <c r="AA12" s="132"/>
      <c r="AB12" s="132"/>
      <c r="AC12" s="132"/>
      <c r="AE12" s="207">
        <v>0</v>
      </c>
      <c r="AF12" s="132"/>
      <c r="AG12" s="132"/>
    </row>
    <row r="13" spans="1:38" s="133" customFormat="1" ht="11.25" customHeight="1">
      <c r="A13" s="123">
        <v>8</v>
      </c>
      <c r="B13" s="202">
        <v>1008</v>
      </c>
      <c r="C13" s="200" t="s">
        <v>173</v>
      </c>
      <c r="D13" s="200" t="s">
        <v>436</v>
      </c>
      <c r="E13" s="200" t="s">
        <v>470</v>
      </c>
      <c r="F13" s="128">
        <v>6000</v>
      </c>
      <c r="G13" s="129">
        <v>0</v>
      </c>
      <c r="H13" s="130"/>
      <c r="I13" s="130"/>
      <c r="J13" s="129"/>
      <c r="K13" s="129"/>
      <c r="L13" s="129"/>
      <c r="M13" s="130"/>
      <c r="N13" s="207">
        <v>6000</v>
      </c>
      <c r="O13" s="207">
        <v>0</v>
      </c>
      <c r="P13" s="207">
        <v>180</v>
      </c>
      <c r="Q13" s="207"/>
      <c r="R13" s="130"/>
      <c r="S13" s="207">
        <v>180</v>
      </c>
      <c r="T13" s="207">
        <v>5820</v>
      </c>
      <c r="U13" s="132"/>
      <c r="V13" s="132"/>
      <c r="W13" s="132"/>
      <c r="X13" s="132"/>
      <c r="Y13" s="132"/>
      <c r="Z13" s="132"/>
      <c r="AA13" s="132"/>
      <c r="AB13" s="132"/>
      <c r="AC13" s="132"/>
      <c r="AE13" s="207">
        <v>6000</v>
      </c>
      <c r="AF13" s="132"/>
      <c r="AG13" s="132"/>
    </row>
    <row r="14" spans="1:38" s="133" customFormat="1" ht="11.25" customHeight="1">
      <c r="A14" s="123">
        <v>9</v>
      </c>
      <c r="B14" s="202">
        <v>1009</v>
      </c>
      <c r="C14" s="200" t="s">
        <v>226</v>
      </c>
      <c r="D14" s="200" t="s">
        <v>437</v>
      </c>
      <c r="E14" s="200" t="s">
        <v>471</v>
      </c>
      <c r="F14" s="128"/>
      <c r="G14" s="129">
        <v>0</v>
      </c>
      <c r="H14" s="130"/>
      <c r="I14" s="130"/>
      <c r="J14" s="129"/>
      <c r="K14" s="129"/>
      <c r="L14" s="129"/>
      <c r="M14" s="130"/>
      <c r="N14" s="207">
        <v>0</v>
      </c>
      <c r="O14" s="207">
        <v>0</v>
      </c>
      <c r="P14" s="207">
        <v>0</v>
      </c>
      <c r="Q14" s="207"/>
      <c r="R14" s="130"/>
      <c r="S14" s="207">
        <v>0</v>
      </c>
      <c r="T14" s="207">
        <v>0</v>
      </c>
      <c r="U14" s="132"/>
      <c r="V14" s="132"/>
      <c r="W14" s="132"/>
      <c r="X14" s="132"/>
      <c r="Y14" s="132"/>
      <c r="Z14" s="132"/>
      <c r="AA14" s="132"/>
      <c r="AB14" s="132"/>
      <c r="AC14" s="132"/>
      <c r="AE14" s="207">
        <v>0</v>
      </c>
      <c r="AF14" s="132"/>
      <c r="AG14" s="132"/>
    </row>
    <row r="15" spans="1:38" s="133" customFormat="1" ht="11.25" customHeight="1">
      <c r="A15" s="123">
        <v>10</v>
      </c>
      <c r="B15" s="202">
        <v>1010</v>
      </c>
      <c r="C15" s="200" t="s">
        <v>427</v>
      </c>
      <c r="D15" s="200" t="s">
        <v>438</v>
      </c>
      <c r="E15" s="200" t="s">
        <v>472</v>
      </c>
      <c r="F15" s="128">
        <v>32760</v>
      </c>
      <c r="G15" s="128">
        <v>850</v>
      </c>
      <c r="H15" s="130">
        <v>3000</v>
      </c>
      <c r="I15" s="130">
        <v>1500</v>
      </c>
      <c r="J15" s="129">
        <v>2500</v>
      </c>
      <c r="K15" s="129">
        <v>7850</v>
      </c>
      <c r="L15" s="129"/>
      <c r="M15" s="130"/>
      <c r="N15" s="207">
        <v>48460</v>
      </c>
      <c r="O15" s="207">
        <v>2801</v>
      </c>
      <c r="P15" s="207">
        <v>450</v>
      </c>
      <c r="Q15" s="207"/>
      <c r="R15" s="130"/>
      <c r="S15" s="207">
        <v>3251</v>
      </c>
      <c r="T15" s="207">
        <v>45209</v>
      </c>
      <c r="U15" s="132"/>
      <c r="V15" s="132"/>
      <c r="W15" s="132"/>
      <c r="X15" s="132"/>
      <c r="Y15" s="132"/>
      <c r="Z15" s="132"/>
      <c r="AA15" s="132"/>
      <c r="AB15" s="132"/>
      <c r="AC15" s="132"/>
      <c r="AE15" s="207">
        <v>45110</v>
      </c>
      <c r="AF15" s="132">
        <v>2466</v>
      </c>
      <c r="AG15" s="132">
        <v>335</v>
      </c>
    </row>
    <row r="16" spans="1:38" s="133" customFormat="1" ht="11.25" customHeight="1">
      <c r="A16" s="123">
        <v>11</v>
      </c>
      <c r="B16" s="202">
        <v>1011</v>
      </c>
      <c r="C16" s="200" t="s">
        <v>427</v>
      </c>
      <c r="D16" s="200" t="s">
        <v>439</v>
      </c>
      <c r="E16" s="200" t="s">
        <v>473</v>
      </c>
      <c r="F16" s="128">
        <v>7554</v>
      </c>
      <c r="G16" s="129">
        <v>0</v>
      </c>
      <c r="H16" s="130"/>
      <c r="I16" s="130"/>
      <c r="J16" s="129"/>
      <c r="K16" s="129"/>
      <c r="L16" s="129"/>
      <c r="M16" s="130"/>
      <c r="N16" s="207">
        <v>7554</v>
      </c>
      <c r="O16" s="207">
        <v>0</v>
      </c>
      <c r="P16" s="207">
        <v>227</v>
      </c>
      <c r="Q16" s="207"/>
      <c r="R16" s="130"/>
      <c r="S16" s="207">
        <v>227</v>
      </c>
      <c r="T16" s="207">
        <v>7327</v>
      </c>
      <c r="U16" s="132"/>
      <c r="V16" s="132"/>
      <c r="W16" s="132"/>
      <c r="X16" s="132"/>
      <c r="Y16" s="132"/>
      <c r="Z16" s="132"/>
      <c r="AA16" s="132"/>
      <c r="AB16" s="132"/>
      <c r="AC16" s="132"/>
      <c r="AE16" s="207">
        <v>7554</v>
      </c>
      <c r="AF16" s="132"/>
      <c r="AG16" s="132"/>
    </row>
    <row r="17" spans="1:33" s="133" customFormat="1" ht="11.25" customHeight="1">
      <c r="A17" s="123">
        <v>12</v>
      </c>
      <c r="B17" s="202">
        <v>1012</v>
      </c>
      <c r="C17" s="200" t="s">
        <v>173</v>
      </c>
      <c r="D17" s="200" t="s">
        <v>440</v>
      </c>
      <c r="E17" s="200" t="s">
        <v>474</v>
      </c>
      <c r="F17" s="128">
        <v>28000</v>
      </c>
      <c r="G17" s="129">
        <v>0</v>
      </c>
      <c r="H17" s="130"/>
      <c r="I17" s="130"/>
      <c r="J17" s="130">
        <v>1500</v>
      </c>
      <c r="K17" s="130">
        <v>1500</v>
      </c>
      <c r="L17" s="129"/>
      <c r="M17" s="130"/>
      <c r="N17" s="207">
        <v>31000</v>
      </c>
      <c r="O17" s="207">
        <v>1055</v>
      </c>
      <c r="P17" s="207">
        <v>450</v>
      </c>
      <c r="Q17" s="207"/>
      <c r="R17" s="130"/>
      <c r="S17" s="207">
        <v>1505</v>
      </c>
      <c r="T17" s="207">
        <v>29495</v>
      </c>
      <c r="U17" s="132"/>
      <c r="V17" s="132"/>
      <c r="W17" s="132"/>
      <c r="X17" s="132"/>
      <c r="Y17" s="132"/>
      <c r="Z17" s="132"/>
      <c r="AA17" s="132"/>
      <c r="AB17" s="132"/>
      <c r="AC17" s="132"/>
      <c r="AE17" s="207">
        <v>29500</v>
      </c>
      <c r="AF17" s="132">
        <v>905</v>
      </c>
      <c r="AG17" s="132">
        <v>150</v>
      </c>
    </row>
    <row r="18" spans="1:33" s="133" customFormat="1" ht="11.25" customHeight="1">
      <c r="A18" s="123">
        <v>13</v>
      </c>
      <c r="B18" s="202">
        <v>1013</v>
      </c>
      <c r="C18" s="200" t="s">
        <v>173</v>
      </c>
      <c r="D18" s="200" t="s">
        <v>441</v>
      </c>
      <c r="E18" s="200" t="s">
        <v>475</v>
      </c>
      <c r="F18" s="128">
        <v>17000</v>
      </c>
      <c r="G18" s="129">
        <v>0</v>
      </c>
      <c r="H18" s="130"/>
      <c r="I18" s="130"/>
      <c r="J18" s="130">
        <v>1500</v>
      </c>
      <c r="K18" s="130">
        <v>1500</v>
      </c>
      <c r="L18" s="129"/>
      <c r="M18" s="130"/>
      <c r="N18" s="207">
        <v>20000</v>
      </c>
      <c r="O18" s="207">
        <v>0</v>
      </c>
      <c r="P18" s="207">
        <v>450</v>
      </c>
      <c r="Q18" s="207"/>
      <c r="R18" s="130"/>
      <c r="S18" s="207">
        <v>450</v>
      </c>
      <c r="T18" s="207">
        <v>19550</v>
      </c>
      <c r="U18" s="132"/>
      <c r="V18" s="132"/>
      <c r="W18" s="132"/>
      <c r="X18" s="132"/>
      <c r="Y18" s="132"/>
      <c r="Z18" s="132"/>
      <c r="AA18" s="132"/>
      <c r="AB18" s="132"/>
      <c r="AC18" s="132"/>
      <c r="AE18" s="207">
        <v>18500</v>
      </c>
      <c r="AF18" s="132"/>
      <c r="AG18" s="132"/>
    </row>
    <row r="19" spans="1:33" s="133" customFormat="1" ht="11.25" customHeight="1">
      <c r="A19" s="123">
        <v>14</v>
      </c>
      <c r="B19" s="202">
        <v>1014</v>
      </c>
      <c r="C19" s="200" t="s">
        <v>427</v>
      </c>
      <c r="D19" s="200" t="s">
        <v>442</v>
      </c>
      <c r="E19" s="200" t="s">
        <v>476</v>
      </c>
      <c r="F19" s="128">
        <v>15000</v>
      </c>
      <c r="G19" s="128">
        <v>7554</v>
      </c>
      <c r="H19" s="130"/>
      <c r="I19" s="130"/>
      <c r="J19" s="129"/>
      <c r="K19" s="129"/>
      <c r="L19" s="129"/>
      <c r="M19" s="130"/>
      <c r="N19" s="207">
        <v>22554</v>
      </c>
      <c r="O19" s="207">
        <v>0</v>
      </c>
      <c r="P19" s="207">
        <v>450</v>
      </c>
      <c r="Q19" s="207"/>
      <c r="R19" s="130"/>
      <c r="S19" s="207">
        <v>450</v>
      </c>
      <c r="T19" s="207">
        <v>22104</v>
      </c>
      <c r="U19" s="132"/>
      <c r="V19" s="132"/>
      <c r="W19" s="132"/>
      <c r="X19" s="132"/>
      <c r="Y19" s="132"/>
      <c r="Z19" s="132"/>
      <c r="AA19" s="132"/>
      <c r="AB19" s="132"/>
      <c r="AC19" s="132"/>
      <c r="AE19" s="207">
        <v>15000</v>
      </c>
      <c r="AF19" s="132"/>
      <c r="AG19" s="132"/>
    </row>
    <row r="20" spans="1:33" s="133" customFormat="1" ht="11.25" customHeight="1">
      <c r="A20" s="123">
        <v>15</v>
      </c>
      <c r="B20" s="202">
        <v>1015</v>
      </c>
      <c r="C20" s="200" t="s">
        <v>173</v>
      </c>
      <c r="D20" s="200" t="s">
        <v>428</v>
      </c>
      <c r="E20" s="200" t="s">
        <v>477</v>
      </c>
      <c r="F20" s="128">
        <v>40000</v>
      </c>
      <c r="G20" s="128">
        <v>856</v>
      </c>
      <c r="H20" s="130"/>
      <c r="I20" s="130"/>
      <c r="J20" s="129"/>
      <c r="K20" s="129"/>
      <c r="L20" s="129"/>
      <c r="M20" s="130"/>
      <c r="N20" s="207">
        <v>40856</v>
      </c>
      <c r="O20" s="207">
        <v>2041</v>
      </c>
      <c r="P20" s="207">
        <v>450</v>
      </c>
      <c r="Q20" s="207"/>
      <c r="R20" s="130"/>
      <c r="S20" s="207">
        <v>2491</v>
      </c>
      <c r="T20" s="207">
        <v>38365</v>
      </c>
      <c r="U20" s="132"/>
      <c r="V20" s="132"/>
      <c r="W20" s="132"/>
      <c r="X20" s="132"/>
      <c r="Y20" s="132"/>
      <c r="Z20" s="132"/>
      <c r="AA20" s="132"/>
      <c r="AB20" s="132"/>
      <c r="AC20" s="132"/>
      <c r="AE20" s="207">
        <v>40000</v>
      </c>
      <c r="AF20" s="132">
        <v>1955</v>
      </c>
      <c r="AG20" s="132">
        <v>86</v>
      </c>
    </row>
    <row r="21" spans="1:33" s="133" customFormat="1" ht="11.25" customHeight="1">
      <c r="A21" s="123">
        <v>16</v>
      </c>
      <c r="B21" s="202">
        <v>1016</v>
      </c>
      <c r="C21" s="200" t="s">
        <v>173</v>
      </c>
      <c r="D21" s="200" t="s">
        <v>429</v>
      </c>
      <c r="E21" s="200" t="s">
        <v>478</v>
      </c>
      <c r="F21" s="128">
        <v>32760</v>
      </c>
      <c r="G21" s="128">
        <v>4588</v>
      </c>
      <c r="H21" s="130">
        <v>3000</v>
      </c>
      <c r="I21" s="130"/>
      <c r="J21" s="129"/>
      <c r="K21" s="129"/>
      <c r="L21" s="129"/>
      <c r="M21" s="130"/>
      <c r="N21" s="207">
        <v>40348</v>
      </c>
      <c r="O21" s="207">
        <v>1990</v>
      </c>
      <c r="P21" s="207">
        <v>450</v>
      </c>
      <c r="Q21" s="207"/>
      <c r="R21" s="130"/>
      <c r="S21" s="207">
        <v>2440</v>
      </c>
      <c r="T21" s="207">
        <v>37908</v>
      </c>
      <c r="U21" s="132"/>
      <c r="V21" s="132"/>
      <c r="W21" s="132"/>
      <c r="X21" s="132"/>
      <c r="Y21" s="132"/>
      <c r="Z21" s="132"/>
      <c r="AA21" s="132"/>
      <c r="AB21" s="132"/>
      <c r="AC21" s="132"/>
      <c r="AE21" s="207">
        <v>35760</v>
      </c>
      <c r="AF21" s="132">
        <v>1531</v>
      </c>
      <c r="AG21" s="132">
        <v>459</v>
      </c>
    </row>
    <row r="22" spans="1:33" s="133" customFormat="1" ht="11.25" customHeight="1">
      <c r="A22" s="123">
        <v>17</v>
      </c>
      <c r="B22" s="202">
        <v>1017</v>
      </c>
      <c r="C22" s="200" t="s">
        <v>173</v>
      </c>
      <c r="D22" s="200" t="s">
        <v>430</v>
      </c>
      <c r="E22" s="200" t="s">
        <v>479</v>
      </c>
      <c r="F22" s="128">
        <v>18550</v>
      </c>
      <c r="G22" s="128">
        <v>2356</v>
      </c>
      <c r="H22" s="130">
        <v>1500</v>
      </c>
      <c r="I22" s="130">
        <v>1500</v>
      </c>
      <c r="J22" s="129"/>
      <c r="K22" s="129"/>
      <c r="L22" s="129"/>
      <c r="M22" s="130"/>
      <c r="N22" s="207">
        <v>23906</v>
      </c>
      <c r="O22" s="207">
        <v>346</v>
      </c>
      <c r="P22" s="207">
        <v>450</v>
      </c>
      <c r="Q22" s="207"/>
      <c r="R22" s="130"/>
      <c r="S22" s="207">
        <v>796</v>
      </c>
      <c r="T22" s="207">
        <v>23110</v>
      </c>
      <c r="U22" s="132"/>
      <c r="V22" s="132"/>
      <c r="W22" s="132"/>
      <c r="X22" s="132"/>
      <c r="Y22" s="132"/>
      <c r="Z22" s="132"/>
      <c r="AA22" s="132"/>
      <c r="AB22" s="132"/>
      <c r="AC22" s="132"/>
      <c r="AE22" s="207">
        <v>21550</v>
      </c>
      <c r="AF22" s="132">
        <v>110</v>
      </c>
      <c r="AG22" s="132">
        <v>236</v>
      </c>
    </row>
    <row r="23" spans="1:33" s="133" customFormat="1" ht="11.25" customHeight="1">
      <c r="A23" s="123">
        <v>18</v>
      </c>
      <c r="B23" s="202">
        <v>1018</v>
      </c>
      <c r="C23" s="200" t="s">
        <v>173</v>
      </c>
      <c r="D23" s="200" t="s">
        <v>431</v>
      </c>
      <c r="E23" s="200" t="s">
        <v>480</v>
      </c>
      <c r="F23" s="128">
        <v>18550</v>
      </c>
      <c r="G23" s="129">
        <v>0</v>
      </c>
      <c r="H23" s="130">
        <v>1500</v>
      </c>
      <c r="I23" s="130">
        <v>1500</v>
      </c>
      <c r="J23" s="129"/>
      <c r="K23" s="129"/>
      <c r="L23" s="129"/>
      <c r="M23" s="130"/>
      <c r="N23" s="207">
        <v>21550</v>
      </c>
      <c r="O23" s="207">
        <v>110</v>
      </c>
      <c r="P23" s="207">
        <v>450</v>
      </c>
      <c r="Q23" s="207"/>
      <c r="R23" s="130"/>
      <c r="S23" s="207">
        <v>560</v>
      </c>
      <c r="T23" s="207">
        <v>20990</v>
      </c>
      <c r="U23" s="132"/>
      <c r="V23" s="132"/>
      <c r="W23" s="132"/>
      <c r="X23" s="132"/>
      <c r="Y23" s="132"/>
      <c r="Z23" s="132"/>
      <c r="AA23" s="132"/>
      <c r="AB23" s="132"/>
      <c r="AC23" s="132"/>
      <c r="AE23" s="207">
        <v>21550</v>
      </c>
      <c r="AF23" s="132">
        <v>110</v>
      </c>
      <c r="AG23" s="132">
        <v>0</v>
      </c>
    </row>
    <row r="24" spans="1:33" s="133" customFormat="1" ht="11.25" customHeight="1">
      <c r="A24" s="123">
        <v>19</v>
      </c>
      <c r="B24" s="202">
        <v>1019</v>
      </c>
      <c r="C24" s="200" t="s">
        <v>173</v>
      </c>
      <c r="D24" s="200" t="s">
        <v>432</v>
      </c>
      <c r="E24" s="200" t="s">
        <v>481</v>
      </c>
      <c r="F24" s="128">
        <v>35000</v>
      </c>
      <c r="G24" s="129">
        <v>0</v>
      </c>
      <c r="H24" s="130">
        <v>1500</v>
      </c>
      <c r="I24" s="130">
        <v>1500</v>
      </c>
      <c r="J24" s="129"/>
      <c r="K24" s="129"/>
      <c r="L24" s="129"/>
      <c r="M24" s="130"/>
      <c r="N24" s="207">
        <v>38000</v>
      </c>
      <c r="O24" s="207">
        <v>1755</v>
      </c>
      <c r="P24" s="207">
        <v>450</v>
      </c>
      <c r="Q24" s="207"/>
      <c r="R24" s="130"/>
      <c r="S24" s="207">
        <v>2205</v>
      </c>
      <c r="T24" s="207">
        <v>35795</v>
      </c>
      <c r="U24" s="132"/>
      <c r="V24" s="132"/>
      <c r="W24" s="132"/>
      <c r="X24" s="132"/>
      <c r="Y24" s="132"/>
      <c r="Z24" s="132"/>
      <c r="AA24" s="132"/>
      <c r="AB24" s="132"/>
      <c r="AC24" s="132"/>
      <c r="AE24" s="207">
        <v>38000</v>
      </c>
      <c r="AF24" s="132">
        <v>1755</v>
      </c>
      <c r="AG24" s="132">
        <v>0</v>
      </c>
    </row>
    <row r="25" spans="1:33" s="133" customFormat="1" ht="11.25" customHeight="1">
      <c r="A25" s="123"/>
      <c r="B25" s="202"/>
      <c r="C25" s="200"/>
      <c r="D25" s="200"/>
      <c r="E25" s="200"/>
      <c r="F25" s="128"/>
      <c r="G25" s="129"/>
      <c r="H25" s="130"/>
      <c r="I25" s="130"/>
      <c r="J25" s="129"/>
      <c r="K25" s="129"/>
      <c r="L25" s="129"/>
      <c r="M25" s="130"/>
      <c r="N25" s="207">
        <v>0</v>
      </c>
      <c r="O25" s="207">
        <v>0</v>
      </c>
      <c r="P25" s="207">
        <v>0</v>
      </c>
      <c r="Q25" s="207"/>
      <c r="R25" s="130"/>
      <c r="S25" s="207">
        <v>0</v>
      </c>
      <c r="T25" s="207">
        <v>0</v>
      </c>
      <c r="U25" s="132"/>
      <c r="V25" s="132"/>
      <c r="W25" s="132"/>
      <c r="X25" s="132"/>
      <c r="Y25" s="132"/>
      <c r="Z25" s="132"/>
      <c r="AA25" s="132"/>
      <c r="AB25" s="132"/>
      <c r="AC25" s="132"/>
      <c r="AE25" s="207">
        <v>0</v>
      </c>
      <c r="AF25" s="132"/>
      <c r="AG25" s="132"/>
    </row>
    <row r="26" spans="1:33" s="133" customFormat="1" ht="11.25" customHeight="1">
      <c r="A26" s="123"/>
      <c r="B26" s="202"/>
      <c r="C26" s="200"/>
      <c r="D26" s="200"/>
      <c r="E26" s="200"/>
      <c r="F26" s="128"/>
      <c r="G26" s="129"/>
      <c r="H26" s="130"/>
      <c r="I26" s="130"/>
      <c r="J26" s="129"/>
      <c r="K26" s="129"/>
      <c r="L26" s="129"/>
      <c r="M26" s="130"/>
      <c r="N26" s="207">
        <v>0</v>
      </c>
      <c r="O26" s="207">
        <v>0</v>
      </c>
      <c r="P26" s="207">
        <v>0</v>
      </c>
      <c r="Q26" s="207"/>
      <c r="R26" s="130"/>
      <c r="S26" s="207">
        <v>0</v>
      </c>
      <c r="T26" s="207">
        <v>0</v>
      </c>
      <c r="U26" s="132"/>
      <c r="V26" s="132"/>
      <c r="W26" s="132"/>
      <c r="X26" s="132"/>
      <c r="Y26" s="132"/>
      <c r="Z26" s="132"/>
      <c r="AA26" s="132"/>
      <c r="AB26" s="132"/>
      <c r="AC26" s="132"/>
      <c r="AE26" s="207">
        <v>0</v>
      </c>
      <c r="AF26" s="132"/>
      <c r="AG26" s="132"/>
    </row>
    <row r="27" spans="1:33" s="133" customFormat="1" ht="11.25" customHeight="1">
      <c r="A27" s="123"/>
      <c r="B27" s="202"/>
      <c r="C27" s="200"/>
      <c r="D27" s="200"/>
      <c r="E27" s="200"/>
      <c r="F27" s="128"/>
      <c r="G27" s="129"/>
      <c r="H27" s="130"/>
      <c r="I27" s="130"/>
      <c r="J27" s="129"/>
      <c r="K27" s="129"/>
      <c r="L27" s="129"/>
      <c r="M27" s="130"/>
      <c r="N27" s="207">
        <v>0</v>
      </c>
      <c r="O27" s="207">
        <v>0</v>
      </c>
      <c r="P27" s="207">
        <v>0</v>
      </c>
      <c r="Q27" s="207"/>
      <c r="R27" s="130"/>
      <c r="S27" s="207">
        <v>0</v>
      </c>
      <c r="T27" s="207">
        <v>0</v>
      </c>
      <c r="U27" s="132"/>
      <c r="V27" s="132"/>
      <c r="W27" s="132"/>
      <c r="X27" s="132"/>
      <c r="Y27" s="132"/>
      <c r="Z27" s="132"/>
      <c r="AA27" s="132"/>
      <c r="AB27" s="132"/>
      <c r="AC27" s="132"/>
      <c r="AE27" s="207">
        <v>0</v>
      </c>
      <c r="AF27" s="132"/>
      <c r="AG27" s="132"/>
    </row>
    <row r="28" spans="1:33" s="133" customFormat="1" ht="11.25" customHeight="1">
      <c r="A28" s="123"/>
      <c r="B28" s="202"/>
      <c r="C28" s="200"/>
      <c r="D28" s="200"/>
      <c r="E28" s="200"/>
      <c r="F28" s="128"/>
      <c r="G28" s="129"/>
      <c r="H28" s="130"/>
      <c r="I28" s="130"/>
      <c r="J28" s="129"/>
      <c r="K28" s="129"/>
      <c r="L28" s="129"/>
      <c r="M28" s="130"/>
      <c r="N28" s="207"/>
      <c r="O28" s="207"/>
      <c r="P28" s="207"/>
      <c r="Q28" s="207"/>
      <c r="R28" s="130"/>
      <c r="S28" s="207"/>
      <c r="T28" s="207"/>
      <c r="U28" s="132"/>
      <c r="V28" s="132"/>
      <c r="W28" s="132"/>
      <c r="X28" s="132"/>
      <c r="Y28" s="132"/>
      <c r="Z28" s="132"/>
      <c r="AA28" s="132"/>
      <c r="AB28" s="132"/>
      <c r="AC28" s="132"/>
      <c r="AE28" s="207">
        <v>0</v>
      </c>
      <c r="AF28" s="132"/>
      <c r="AG28" s="132"/>
    </row>
    <row r="29" spans="1:33" s="133" customFormat="1" ht="15" customHeight="1" thickBot="1">
      <c r="A29" s="166"/>
      <c r="B29" s="167"/>
      <c r="C29" s="168"/>
      <c r="D29" s="169"/>
      <c r="E29" s="170"/>
      <c r="F29" s="171">
        <v>537070</v>
      </c>
      <c r="G29" s="171">
        <v>18704</v>
      </c>
      <c r="H29" s="171">
        <v>15000</v>
      </c>
      <c r="I29" s="171">
        <v>10500</v>
      </c>
      <c r="J29" s="171">
        <v>12000</v>
      </c>
      <c r="K29" s="171">
        <v>19350</v>
      </c>
      <c r="L29" s="171">
        <v>10500</v>
      </c>
      <c r="M29" s="171">
        <v>12500</v>
      </c>
      <c r="N29" s="171">
        <v>635624</v>
      </c>
      <c r="O29" s="171">
        <v>60973</v>
      </c>
      <c r="P29" s="171">
        <v>6167</v>
      </c>
      <c r="Q29" s="171">
        <v>0</v>
      </c>
      <c r="R29" s="171">
        <v>0</v>
      </c>
      <c r="S29" s="171">
        <v>67140</v>
      </c>
      <c r="T29" s="171">
        <v>568484</v>
      </c>
      <c r="U29" s="132"/>
      <c r="V29" s="132"/>
      <c r="W29" s="132"/>
      <c r="X29" s="132"/>
      <c r="Y29" s="132"/>
      <c r="Z29" s="132"/>
      <c r="AA29" s="132"/>
      <c r="AB29" s="132"/>
    </row>
    <row r="30" spans="1:33" s="133" customFormat="1" ht="15" customHeight="1" thickTop="1">
      <c r="A30" s="172"/>
      <c r="B30" s="164"/>
      <c r="C30" s="164"/>
      <c r="D30" s="165"/>
      <c r="E30" s="165"/>
      <c r="F30" s="131"/>
      <c r="G30" s="131"/>
      <c r="H30" s="131"/>
      <c r="I30" s="131"/>
      <c r="J30" s="131"/>
      <c r="K30" s="131"/>
      <c r="L30" s="131"/>
      <c r="M30" s="173"/>
      <c r="N30" s="131"/>
      <c r="O30" s="131"/>
      <c r="P30" s="131"/>
      <c r="Q30" s="131"/>
      <c r="R30" s="131"/>
      <c r="S30" s="131"/>
      <c r="T30" s="131"/>
      <c r="U30" s="132"/>
      <c r="V30" s="132"/>
      <c r="W30" s="132"/>
      <c r="X30" s="132"/>
      <c r="Y30" s="132"/>
      <c r="Z30" s="132"/>
      <c r="AA30" s="132"/>
      <c r="AB30" s="132"/>
    </row>
  </sheetData>
  <phoneticPr fontId="27" type="noConversion"/>
  <pageMargins left="0.75" right="0.75" top="1" bottom="1" header="0.5" footer="0.5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indexed="10"/>
    <pageSetUpPr fitToPage="1"/>
  </sheetPr>
  <dimension ref="A1:AO120"/>
  <sheetViews>
    <sheetView workbookViewId="0">
      <pane xSplit="2" ySplit="2" topLeftCell="C3" activePane="bottomRight" state="frozen"/>
      <selection activeCell="C19" sqref="C19"/>
      <selection pane="topRight" activeCell="C19" sqref="C19"/>
      <selection pane="bottomLeft" activeCell="C19" sqref="C19"/>
      <selection pane="bottomRight" activeCell="O12" sqref="O12:Z55"/>
    </sheetView>
  </sheetViews>
  <sheetFormatPr defaultRowHeight="21.75"/>
  <cols>
    <col min="1" max="1" width="3.85546875" style="218" customWidth="1"/>
    <col min="2" max="2" width="37.5703125" style="216" customWidth="1"/>
    <col min="3" max="3" width="12.85546875" style="217" customWidth="1"/>
    <col min="4" max="4" width="14.140625" style="217" customWidth="1"/>
    <col min="5" max="5" width="10.28515625" style="225" customWidth="1"/>
    <col min="6" max="6" width="13.42578125" style="220" customWidth="1"/>
    <col min="7" max="7" width="3.85546875" style="221" customWidth="1"/>
    <col min="8" max="8" width="15.28515625" style="222" customWidth="1"/>
    <col min="9" max="9" width="14.5703125" style="222" customWidth="1"/>
    <col min="10" max="10" width="15.28515625" style="222" customWidth="1"/>
    <col min="11" max="11" width="7.42578125" style="223" customWidth="1"/>
    <col min="12" max="13" width="1.7109375" style="217" customWidth="1"/>
    <col min="14" max="14" width="9.85546875" style="217" bestFit="1" customWidth="1"/>
    <col min="15" max="26" width="11" style="241" bestFit="1" customWidth="1"/>
    <col min="27" max="29" width="9.140625" style="241"/>
    <col min="30" max="41" width="11" style="241" bestFit="1" customWidth="1"/>
    <col min="42" max="16384" width="9.140625" style="217"/>
  </cols>
  <sheetData>
    <row r="1" spans="1:41" ht="26.25">
      <c r="A1" s="215" t="s">
        <v>233</v>
      </c>
      <c r="D1" s="218"/>
      <c r="E1" s="219"/>
      <c r="L1" s="216"/>
      <c r="M1" s="216"/>
    </row>
    <row r="2" spans="1:41" ht="26.25">
      <c r="A2" s="781" t="s">
        <v>490</v>
      </c>
      <c r="B2" s="782"/>
      <c r="D2" s="218"/>
      <c r="E2" s="219"/>
      <c r="L2" s="216"/>
      <c r="M2" s="216"/>
    </row>
    <row r="3" spans="1:41" ht="23.25">
      <c r="A3" s="224" t="s">
        <v>234</v>
      </c>
      <c r="L3" s="216"/>
      <c r="M3" s="216"/>
    </row>
    <row r="4" spans="1:41">
      <c r="A4" s="216"/>
      <c r="F4" s="226"/>
      <c r="G4" s="227"/>
      <c r="H4" s="228"/>
      <c r="I4" s="228"/>
      <c r="K4" s="229"/>
      <c r="L4" s="216"/>
      <c r="M4" s="216"/>
    </row>
    <row r="5" spans="1:41">
      <c r="A5" s="230"/>
      <c r="C5" s="216"/>
      <c r="F5" s="226"/>
      <c r="G5" s="227"/>
      <c r="H5" s="228"/>
      <c r="I5" s="228"/>
      <c r="K5" s="229"/>
      <c r="L5" s="216"/>
      <c r="M5" s="216"/>
    </row>
    <row r="6" spans="1:41">
      <c r="A6" s="230"/>
      <c r="C6" s="216"/>
      <c r="F6" s="226"/>
      <c r="G6" s="227"/>
      <c r="H6" s="228"/>
      <c r="I6" s="228"/>
      <c r="K6" s="229"/>
      <c r="L6" s="216"/>
      <c r="M6" s="216"/>
    </row>
    <row r="7" spans="1:41" ht="26.25" customHeight="1">
      <c r="A7" s="230"/>
      <c r="C7" s="216"/>
      <c r="F7" s="226"/>
      <c r="G7" s="227"/>
      <c r="H7" s="228"/>
      <c r="I7" s="228"/>
      <c r="K7" s="229"/>
      <c r="L7" s="216"/>
      <c r="M7" s="216"/>
    </row>
    <row r="8" spans="1:41">
      <c r="A8" s="230"/>
      <c r="B8" s="231" t="str">
        <f>+A49</f>
        <v>ภาษีเงินได้ทั้งปี</v>
      </c>
      <c r="C8" s="232">
        <f>+F49</f>
        <v>33065</v>
      </c>
      <c r="E8" s="216"/>
      <c r="F8" s="226"/>
      <c r="G8" s="227"/>
      <c r="H8" s="228"/>
      <c r="I8" s="228"/>
      <c r="K8" s="229"/>
      <c r="L8" s="216"/>
      <c r="M8" s="216"/>
    </row>
    <row r="9" spans="1:41">
      <c r="A9" s="230"/>
      <c r="C9" s="216"/>
      <c r="D9" s="228"/>
      <c r="E9" s="228"/>
      <c r="F9" s="228"/>
      <c r="G9" s="228"/>
      <c r="H9" s="228"/>
      <c r="I9" s="228"/>
      <c r="K9" s="229"/>
      <c r="L9" s="216"/>
      <c r="M9" s="216"/>
    </row>
    <row r="10" spans="1:41" ht="26.25">
      <c r="A10" s="215" t="s">
        <v>233</v>
      </c>
      <c r="D10" s="222"/>
      <c r="E10" s="222"/>
      <c r="F10" s="222"/>
      <c r="G10" s="222"/>
      <c r="L10" s="216"/>
      <c r="M10" s="216"/>
    </row>
    <row r="11" spans="1:41" ht="26.25">
      <c r="A11" s="215" t="str">
        <f>"ประจำเดือน  "&amp;E109&amp;"  "&amp;CompanyProfile!C13</f>
        <v>ประจำเดือน  มกราคม  2557</v>
      </c>
      <c r="B11" s="233"/>
      <c r="L11" s="216"/>
      <c r="M11" s="216"/>
      <c r="O11" s="300"/>
      <c r="P11" s="300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D11" s="300"/>
      <c r="AE11" s="300"/>
      <c r="AF11" s="300"/>
      <c r="AG11" s="300"/>
      <c r="AH11" s="300"/>
      <c r="AI11" s="300"/>
      <c r="AJ11" s="300"/>
      <c r="AK11" s="300"/>
      <c r="AL11" s="300"/>
      <c r="AM11" s="300"/>
      <c r="AN11" s="300"/>
      <c r="AO11" s="300"/>
    </row>
    <row r="12" spans="1:41" ht="43.5">
      <c r="A12" s="234" t="str">
        <f>+A2</f>
        <v>นายณรงค์ฤทธิ์  ศศศศศศ</v>
      </c>
      <c r="B12" s="235"/>
      <c r="C12" s="236" t="s">
        <v>235</v>
      </c>
      <c r="D12" s="236" t="s">
        <v>236</v>
      </c>
      <c r="E12" s="236" t="s">
        <v>237</v>
      </c>
      <c r="F12" s="237" t="s">
        <v>238</v>
      </c>
      <c r="G12" s="238"/>
      <c r="H12" s="239" t="s">
        <v>239</v>
      </c>
      <c r="I12" s="292" t="s">
        <v>309</v>
      </c>
      <c r="J12" s="239" t="s">
        <v>292</v>
      </c>
      <c r="L12" s="216"/>
      <c r="M12" s="216"/>
      <c r="O12" s="313" t="s">
        <v>240</v>
      </c>
      <c r="P12" s="313" t="s">
        <v>241</v>
      </c>
      <c r="Q12" s="313" t="s">
        <v>242</v>
      </c>
      <c r="R12" s="313" t="s">
        <v>243</v>
      </c>
      <c r="S12" s="313" t="s">
        <v>244</v>
      </c>
      <c r="T12" s="313" t="s">
        <v>245</v>
      </c>
      <c r="U12" s="313" t="s">
        <v>246</v>
      </c>
      <c r="V12" s="313" t="s">
        <v>247</v>
      </c>
      <c r="W12" s="313" t="s">
        <v>248</v>
      </c>
      <c r="X12" s="313" t="s">
        <v>249</v>
      </c>
      <c r="Y12" s="313" t="s">
        <v>250</v>
      </c>
      <c r="Z12" s="313" t="s">
        <v>251</v>
      </c>
      <c r="AD12" s="301" t="s">
        <v>240</v>
      </c>
      <c r="AE12" s="301" t="s">
        <v>241</v>
      </c>
      <c r="AF12" s="301" t="s">
        <v>242</v>
      </c>
      <c r="AG12" s="301" t="s">
        <v>243</v>
      </c>
      <c r="AH12" s="301" t="s">
        <v>244</v>
      </c>
      <c r="AI12" s="301" t="s">
        <v>245</v>
      </c>
      <c r="AJ12" s="301" t="s">
        <v>246</v>
      </c>
      <c r="AK12" s="301" t="s">
        <v>247</v>
      </c>
      <c r="AL12" s="301" t="s">
        <v>248</v>
      </c>
      <c r="AM12" s="301" t="s">
        <v>249</v>
      </c>
      <c r="AN12" s="301" t="s">
        <v>250</v>
      </c>
      <c r="AO12" s="301" t="s">
        <v>251</v>
      </c>
    </row>
    <row r="13" spans="1:41">
      <c r="A13" s="311">
        <v>1</v>
      </c>
      <c r="B13" s="259" t="str">
        <f>SheetData!F5</f>
        <v>เงินเดือน</v>
      </c>
      <c r="C13" s="293">
        <v>70000</v>
      </c>
      <c r="D13" s="293">
        <v>35000</v>
      </c>
      <c r="E13" s="460">
        <f t="shared" ref="E13:E20" si="0">IF(A13=1,13-$C$109,1)</f>
        <v>12</v>
      </c>
      <c r="F13" s="220">
        <f t="shared" ref="F13:F20" si="1">+E13*D13+C13</f>
        <v>490000</v>
      </c>
      <c r="H13" s="222">
        <f t="shared" ref="H13:H20" si="2">IF(A13=1,F13,0)</f>
        <v>490000</v>
      </c>
      <c r="I13" s="222">
        <f t="shared" ref="I13:I20" si="3">F13</f>
        <v>490000</v>
      </c>
      <c r="L13" s="216"/>
      <c r="M13" s="216"/>
      <c r="O13" s="314">
        <v>35000</v>
      </c>
      <c r="P13" s="314">
        <v>35000</v>
      </c>
      <c r="Q13" s="314">
        <v>35000</v>
      </c>
      <c r="R13" s="314">
        <f t="shared" ref="R13:R20" si="4">IF($A13=1,Q13,0)</f>
        <v>35000</v>
      </c>
      <c r="S13" s="314">
        <f t="shared" ref="S13:S20" si="5">IF($A13=1,R13,0)</f>
        <v>35000</v>
      </c>
      <c r="T13" s="314">
        <f t="shared" ref="T13:T20" si="6">IF($A13=1,S13,0)</f>
        <v>35000</v>
      </c>
      <c r="U13" s="314">
        <f t="shared" ref="U13:U20" si="7">IF($A13=1,T13,0)</f>
        <v>35000</v>
      </c>
      <c r="V13" s="314">
        <f t="shared" ref="V13:V20" si="8">IF($A13=1,U13,0)</f>
        <v>35000</v>
      </c>
      <c r="W13" s="314">
        <f t="shared" ref="W13:W20" si="9">IF($A13=1,V13,0)</f>
        <v>35000</v>
      </c>
      <c r="X13" s="314">
        <f t="shared" ref="X13:X20" si="10">IF($A13=1,W13,0)</f>
        <v>35000</v>
      </c>
      <c r="Y13" s="314">
        <f t="shared" ref="Y13:Y20" si="11">IF($A13=1,X13,0)</f>
        <v>35000</v>
      </c>
      <c r="Z13" s="314">
        <f t="shared" ref="Z13:Z20" si="12">IF($A13=1,Y13,0)</f>
        <v>35000</v>
      </c>
      <c r="AD13" s="302">
        <f>IF($A13=1,AC13,0)</f>
        <v>0</v>
      </c>
      <c r="AE13" s="302">
        <f t="shared" ref="AE13:AO13" si="13">IF($A13=1,AD13,0)</f>
        <v>0</v>
      </c>
      <c r="AF13" s="302">
        <f t="shared" si="13"/>
        <v>0</v>
      </c>
      <c r="AG13" s="302">
        <f t="shared" si="13"/>
        <v>0</v>
      </c>
      <c r="AH13" s="302">
        <f t="shared" si="13"/>
        <v>0</v>
      </c>
      <c r="AI13" s="302">
        <f t="shared" si="13"/>
        <v>0</v>
      </c>
      <c r="AJ13" s="302">
        <f t="shared" si="13"/>
        <v>0</v>
      </c>
      <c r="AK13" s="302">
        <f t="shared" si="13"/>
        <v>0</v>
      </c>
      <c r="AL13" s="302">
        <f t="shared" si="13"/>
        <v>0</v>
      </c>
      <c r="AM13" s="302">
        <f t="shared" si="13"/>
        <v>0</v>
      </c>
      <c r="AN13" s="302">
        <f t="shared" si="13"/>
        <v>0</v>
      </c>
      <c r="AO13" s="302">
        <f t="shared" si="13"/>
        <v>0</v>
      </c>
    </row>
    <row r="14" spans="1:41">
      <c r="A14" s="311">
        <v>2</v>
      </c>
      <c r="B14" s="259" t="str">
        <f>SheetData!G5</f>
        <v>ค่าล่วงเวลา</v>
      </c>
      <c r="C14" s="293">
        <v>0</v>
      </c>
      <c r="D14" s="293">
        <v>1000</v>
      </c>
      <c r="E14" s="460">
        <f t="shared" si="0"/>
        <v>1</v>
      </c>
      <c r="F14" s="220">
        <f t="shared" si="1"/>
        <v>1000</v>
      </c>
      <c r="H14" s="222">
        <f t="shared" si="2"/>
        <v>0</v>
      </c>
      <c r="I14" s="222">
        <f t="shared" si="3"/>
        <v>1000</v>
      </c>
      <c r="O14" s="314">
        <v>0</v>
      </c>
      <c r="P14" s="314">
        <v>0</v>
      </c>
      <c r="Q14" s="314">
        <v>1000</v>
      </c>
      <c r="R14" s="314">
        <f t="shared" si="4"/>
        <v>0</v>
      </c>
      <c r="S14" s="314">
        <f t="shared" si="5"/>
        <v>0</v>
      </c>
      <c r="T14" s="314">
        <f t="shared" si="6"/>
        <v>0</v>
      </c>
      <c r="U14" s="314">
        <f t="shared" si="7"/>
        <v>0</v>
      </c>
      <c r="V14" s="314">
        <f t="shared" si="8"/>
        <v>0</v>
      </c>
      <c r="W14" s="314">
        <f t="shared" si="9"/>
        <v>0</v>
      </c>
      <c r="X14" s="314">
        <f t="shared" si="10"/>
        <v>0</v>
      </c>
      <c r="Y14" s="314">
        <f t="shared" si="11"/>
        <v>0</v>
      </c>
      <c r="Z14" s="314">
        <f t="shared" si="12"/>
        <v>0</v>
      </c>
      <c r="AD14" s="302">
        <f t="shared" ref="AD14:AO14" si="14">IF($A14=1,AC14,0)</f>
        <v>0</v>
      </c>
      <c r="AE14" s="302">
        <f t="shared" si="14"/>
        <v>0</v>
      </c>
      <c r="AF14" s="302">
        <f t="shared" si="14"/>
        <v>0</v>
      </c>
      <c r="AG14" s="302">
        <f t="shared" si="14"/>
        <v>0</v>
      </c>
      <c r="AH14" s="302">
        <f t="shared" si="14"/>
        <v>0</v>
      </c>
      <c r="AI14" s="302">
        <f t="shared" si="14"/>
        <v>0</v>
      </c>
      <c r="AJ14" s="302">
        <f t="shared" si="14"/>
        <v>0</v>
      </c>
      <c r="AK14" s="302">
        <f t="shared" si="14"/>
        <v>0</v>
      </c>
      <c r="AL14" s="302">
        <f t="shared" si="14"/>
        <v>0</v>
      </c>
      <c r="AM14" s="302">
        <f t="shared" si="14"/>
        <v>0</v>
      </c>
      <c r="AN14" s="302">
        <f t="shared" si="14"/>
        <v>0</v>
      </c>
      <c r="AO14" s="302">
        <f t="shared" si="14"/>
        <v>0</v>
      </c>
    </row>
    <row r="15" spans="1:41">
      <c r="A15" s="311">
        <v>1</v>
      </c>
      <c r="B15" s="259" t="str">
        <f>SheetData!H5</f>
        <v>ค่าเช่าบ้าน</v>
      </c>
      <c r="C15" s="293">
        <v>3000</v>
      </c>
      <c r="D15" s="293">
        <v>2000</v>
      </c>
      <c r="E15" s="460">
        <f t="shared" si="0"/>
        <v>12</v>
      </c>
      <c r="F15" s="220">
        <f t="shared" si="1"/>
        <v>27000</v>
      </c>
      <c r="H15" s="222">
        <f t="shared" si="2"/>
        <v>27000</v>
      </c>
      <c r="I15" s="222">
        <f t="shared" si="3"/>
        <v>27000</v>
      </c>
      <c r="O15" s="314">
        <v>1500</v>
      </c>
      <c r="P15" s="314">
        <v>1500</v>
      </c>
      <c r="Q15" s="314">
        <v>2000</v>
      </c>
      <c r="R15" s="314">
        <f t="shared" si="4"/>
        <v>2000</v>
      </c>
      <c r="S15" s="314">
        <f t="shared" si="5"/>
        <v>2000</v>
      </c>
      <c r="T15" s="314">
        <f t="shared" si="6"/>
        <v>2000</v>
      </c>
      <c r="U15" s="314">
        <f t="shared" si="7"/>
        <v>2000</v>
      </c>
      <c r="V15" s="314">
        <f t="shared" si="8"/>
        <v>2000</v>
      </c>
      <c r="W15" s="314">
        <f t="shared" si="9"/>
        <v>2000</v>
      </c>
      <c r="X15" s="314">
        <f t="shared" si="10"/>
        <v>2000</v>
      </c>
      <c r="Y15" s="314">
        <f t="shared" si="11"/>
        <v>2000</v>
      </c>
      <c r="Z15" s="314">
        <f t="shared" si="12"/>
        <v>2000</v>
      </c>
      <c r="AD15" s="302">
        <f t="shared" ref="AD15:AO15" si="15">IF($A15=1,AC15,0)</f>
        <v>0</v>
      </c>
      <c r="AE15" s="302">
        <f t="shared" si="15"/>
        <v>0</v>
      </c>
      <c r="AF15" s="302">
        <f t="shared" si="15"/>
        <v>0</v>
      </c>
      <c r="AG15" s="302">
        <f t="shared" si="15"/>
        <v>0</v>
      </c>
      <c r="AH15" s="302">
        <f t="shared" si="15"/>
        <v>0</v>
      </c>
      <c r="AI15" s="302">
        <f t="shared" si="15"/>
        <v>0</v>
      </c>
      <c r="AJ15" s="302">
        <f t="shared" si="15"/>
        <v>0</v>
      </c>
      <c r="AK15" s="302">
        <f t="shared" si="15"/>
        <v>0</v>
      </c>
      <c r="AL15" s="302">
        <f t="shared" si="15"/>
        <v>0</v>
      </c>
      <c r="AM15" s="302">
        <f t="shared" si="15"/>
        <v>0</v>
      </c>
      <c r="AN15" s="302">
        <f t="shared" si="15"/>
        <v>0</v>
      </c>
      <c r="AO15" s="302">
        <f t="shared" si="15"/>
        <v>0</v>
      </c>
    </row>
    <row r="16" spans="1:41">
      <c r="A16" s="311">
        <v>1</v>
      </c>
      <c r="B16" s="259" t="str">
        <f>SheetData!I5</f>
        <v>ค่าน้ำมัน</v>
      </c>
      <c r="C16" s="293">
        <v>3000</v>
      </c>
      <c r="D16" s="293">
        <v>3000</v>
      </c>
      <c r="E16" s="460">
        <f>IF(A16=1,13-$C$109,1)</f>
        <v>12</v>
      </c>
      <c r="F16" s="220">
        <f>+E16*D16+C16</f>
        <v>39000</v>
      </c>
      <c r="H16" s="222">
        <f>IF(A16=1,F16,0)</f>
        <v>39000</v>
      </c>
      <c r="I16" s="222">
        <f>F16</f>
        <v>39000</v>
      </c>
      <c r="O16" s="314">
        <v>1500</v>
      </c>
      <c r="P16" s="314">
        <v>1500</v>
      </c>
      <c r="Q16" s="314">
        <v>3000</v>
      </c>
      <c r="R16" s="314">
        <f t="shared" si="4"/>
        <v>3000</v>
      </c>
      <c r="S16" s="314">
        <f t="shared" si="5"/>
        <v>3000</v>
      </c>
      <c r="T16" s="314">
        <f t="shared" si="6"/>
        <v>3000</v>
      </c>
      <c r="U16" s="314">
        <f t="shared" si="7"/>
        <v>3000</v>
      </c>
      <c r="V16" s="314">
        <f t="shared" si="8"/>
        <v>3000</v>
      </c>
      <c r="W16" s="314">
        <f t="shared" si="9"/>
        <v>3000</v>
      </c>
      <c r="X16" s="314">
        <f t="shared" si="10"/>
        <v>3000</v>
      </c>
      <c r="Y16" s="314">
        <f t="shared" si="11"/>
        <v>3000</v>
      </c>
      <c r="Z16" s="314">
        <f t="shared" si="12"/>
        <v>3000</v>
      </c>
      <c r="AD16" s="302">
        <f t="shared" ref="AD16:AO16" si="16">IF($A16=1,AC16,0)</f>
        <v>0</v>
      </c>
      <c r="AE16" s="302">
        <f t="shared" si="16"/>
        <v>0</v>
      </c>
      <c r="AF16" s="302">
        <f t="shared" si="16"/>
        <v>0</v>
      </c>
      <c r="AG16" s="302">
        <f t="shared" si="16"/>
        <v>0</v>
      </c>
      <c r="AH16" s="302">
        <f t="shared" si="16"/>
        <v>0</v>
      </c>
      <c r="AI16" s="302">
        <f t="shared" si="16"/>
        <v>0</v>
      </c>
      <c r="AJ16" s="302">
        <f t="shared" si="16"/>
        <v>0</v>
      </c>
      <c r="AK16" s="302">
        <f t="shared" si="16"/>
        <v>0</v>
      </c>
      <c r="AL16" s="302">
        <f t="shared" si="16"/>
        <v>0</v>
      </c>
      <c r="AM16" s="302">
        <f t="shared" si="16"/>
        <v>0</v>
      </c>
      <c r="AN16" s="302">
        <f t="shared" si="16"/>
        <v>0</v>
      </c>
      <c r="AO16" s="302">
        <f t="shared" si="16"/>
        <v>0</v>
      </c>
    </row>
    <row r="17" spans="1:41">
      <c r="A17" s="311">
        <v>2</v>
      </c>
      <c r="B17" s="259" t="str">
        <f>SheetData!J5</f>
        <v>ค่าเบี้ยเลี้ยง</v>
      </c>
      <c r="C17" s="293">
        <v>0</v>
      </c>
      <c r="D17" s="293">
        <v>4000</v>
      </c>
      <c r="E17" s="460">
        <f>IF(A17=1,13-$C$109,1)</f>
        <v>1</v>
      </c>
      <c r="F17" s="220">
        <f>+E17*D17+C17</f>
        <v>4000</v>
      </c>
      <c r="H17" s="222">
        <f>IF(A17=1,F17,0)</f>
        <v>0</v>
      </c>
      <c r="I17" s="222">
        <f>F17</f>
        <v>4000</v>
      </c>
      <c r="O17" s="314"/>
      <c r="P17" s="314"/>
      <c r="Q17" s="314">
        <v>4000</v>
      </c>
      <c r="R17" s="314">
        <f t="shared" si="4"/>
        <v>0</v>
      </c>
      <c r="S17" s="314">
        <f t="shared" si="5"/>
        <v>0</v>
      </c>
      <c r="T17" s="314">
        <f t="shared" si="6"/>
        <v>0</v>
      </c>
      <c r="U17" s="314">
        <f t="shared" si="7"/>
        <v>0</v>
      </c>
      <c r="V17" s="314">
        <f t="shared" si="8"/>
        <v>0</v>
      </c>
      <c r="W17" s="314">
        <f t="shared" si="9"/>
        <v>0</v>
      </c>
      <c r="X17" s="314">
        <f t="shared" si="10"/>
        <v>0</v>
      </c>
      <c r="Y17" s="314">
        <f t="shared" si="11"/>
        <v>0</v>
      </c>
      <c r="Z17" s="314">
        <f t="shared" si="12"/>
        <v>0</v>
      </c>
      <c r="AD17" s="302">
        <f t="shared" ref="AD17:AO17" si="17">IF($A17=1,AC17,0)</f>
        <v>0</v>
      </c>
      <c r="AE17" s="302">
        <f t="shared" si="17"/>
        <v>0</v>
      </c>
      <c r="AF17" s="302">
        <f t="shared" si="17"/>
        <v>0</v>
      </c>
      <c r="AG17" s="302">
        <f t="shared" si="17"/>
        <v>0</v>
      </c>
      <c r="AH17" s="302">
        <f t="shared" si="17"/>
        <v>0</v>
      </c>
      <c r="AI17" s="302">
        <f t="shared" si="17"/>
        <v>0</v>
      </c>
      <c r="AJ17" s="302">
        <f t="shared" si="17"/>
        <v>0</v>
      </c>
      <c r="AK17" s="302">
        <f t="shared" si="17"/>
        <v>0</v>
      </c>
      <c r="AL17" s="302">
        <f t="shared" si="17"/>
        <v>0</v>
      </c>
      <c r="AM17" s="302">
        <f t="shared" si="17"/>
        <v>0</v>
      </c>
      <c r="AN17" s="302">
        <f t="shared" si="17"/>
        <v>0</v>
      </c>
      <c r="AO17" s="302">
        <f t="shared" si="17"/>
        <v>0</v>
      </c>
    </row>
    <row r="18" spans="1:41">
      <c r="A18" s="311">
        <v>1</v>
      </c>
      <c r="B18" s="259" t="str">
        <f>SheetData!K5</f>
        <v>ค่าครองชีพ</v>
      </c>
      <c r="C18" s="293">
        <v>0</v>
      </c>
      <c r="D18" s="293">
        <v>5000</v>
      </c>
      <c r="E18" s="460">
        <f>IF(A18=1,13-$C$109,1)</f>
        <v>12</v>
      </c>
      <c r="F18" s="220">
        <f>+E18*D18+C18</f>
        <v>60000</v>
      </c>
      <c r="H18" s="222">
        <f>IF(A18=1,F18,0)</f>
        <v>60000</v>
      </c>
      <c r="I18" s="222">
        <f>F18</f>
        <v>60000</v>
      </c>
      <c r="O18" s="314"/>
      <c r="P18" s="314"/>
      <c r="Q18" s="314">
        <v>5000</v>
      </c>
      <c r="R18" s="314">
        <f t="shared" si="4"/>
        <v>5000</v>
      </c>
      <c r="S18" s="314">
        <f t="shared" si="5"/>
        <v>5000</v>
      </c>
      <c r="T18" s="314">
        <f t="shared" si="6"/>
        <v>5000</v>
      </c>
      <c r="U18" s="314">
        <f t="shared" si="7"/>
        <v>5000</v>
      </c>
      <c r="V18" s="314">
        <f t="shared" si="8"/>
        <v>5000</v>
      </c>
      <c r="W18" s="314">
        <f t="shared" si="9"/>
        <v>5000</v>
      </c>
      <c r="X18" s="314">
        <f t="shared" si="10"/>
        <v>5000</v>
      </c>
      <c r="Y18" s="314">
        <f t="shared" si="11"/>
        <v>5000</v>
      </c>
      <c r="Z18" s="314">
        <f t="shared" si="12"/>
        <v>5000</v>
      </c>
      <c r="AD18" s="302">
        <f t="shared" ref="AD18:AO18" si="18">IF($A18=1,AC18,0)</f>
        <v>0</v>
      </c>
      <c r="AE18" s="302">
        <f t="shared" si="18"/>
        <v>0</v>
      </c>
      <c r="AF18" s="302">
        <f t="shared" si="18"/>
        <v>0</v>
      </c>
      <c r="AG18" s="302">
        <f t="shared" si="18"/>
        <v>0</v>
      </c>
      <c r="AH18" s="302">
        <f t="shared" si="18"/>
        <v>0</v>
      </c>
      <c r="AI18" s="302">
        <f t="shared" si="18"/>
        <v>0</v>
      </c>
      <c r="AJ18" s="302">
        <f t="shared" si="18"/>
        <v>0</v>
      </c>
      <c r="AK18" s="302">
        <f t="shared" si="18"/>
        <v>0</v>
      </c>
      <c r="AL18" s="302">
        <f t="shared" si="18"/>
        <v>0</v>
      </c>
      <c r="AM18" s="302">
        <f t="shared" si="18"/>
        <v>0</v>
      </c>
      <c r="AN18" s="302">
        <f t="shared" si="18"/>
        <v>0</v>
      </c>
      <c r="AO18" s="302">
        <f t="shared" si="18"/>
        <v>0</v>
      </c>
    </row>
    <row r="19" spans="1:41">
      <c r="A19" s="311">
        <v>2</v>
      </c>
      <c r="B19" s="259" t="str">
        <f>SheetData!L5</f>
        <v>โบนัส</v>
      </c>
      <c r="C19" s="293">
        <v>0</v>
      </c>
      <c r="D19" s="293">
        <v>6000</v>
      </c>
      <c r="E19" s="460">
        <f t="shared" si="0"/>
        <v>1</v>
      </c>
      <c r="F19" s="220">
        <f t="shared" si="1"/>
        <v>6000</v>
      </c>
      <c r="H19" s="222">
        <f t="shared" si="2"/>
        <v>0</v>
      </c>
      <c r="I19" s="222">
        <f t="shared" si="3"/>
        <v>6000</v>
      </c>
      <c r="O19" s="314"/>
      <c r="P19" s="314"/>
      <c r="Q19" s="314">
        <v>6000</v>
      </c>
      <c r="R19" s="314">
        <f t="shared" si="4"/>
        <v>0</v>
      </c>
      <c r="S19" s="314">
        <f t="shared" si="5"/>
        <v>0</v>
      </c>
      <c r="T19" s="314">
        <f t="shared" si="6"/>
        <v>0</v>
      </c>
      <c r="U19" s="314">
        <f t="shared" si="7"/>
        <v>0</v>
      </c>
      <c r="V19" s="314">
        <f t="shared" si="8"/>
        <v>0</v>
      </c>
      <c r="W19" s="314">
        <f t="shared" si="9"/>
        <v>0</v>
      </c>
      <c r="X19" s="314">
        <f t="shared" si="10"/>
        <v>0</v>
      </c>
      <c r="Y19" s="314">
        <f t="shared" si="11"/>
        <v>0</v>
      </c>
      <c r="Z19" s="314">
        <f t="shared" si="12"/>
        <v>0</v>
      </c>
      <c r="AD19" s="302">
        <f t="shared" ref="AD19:AO19" si="19">IF($A19=1,AC19,0)</f>
        <v>0</v>
      </c>
      <c r="AE19" s="302">
        <f t="shared" si="19"/>
        <v>0</v>
      </c>
      <c r="AF19" s="302">
        <f t="shared" si="19"/>
        <v>0</v>
      </c>
      <c r="AG19" s="302">
        <f t="shared" si="19"/>
        <v>0</v>
      </c>
      <c r="AH19" s="302">
        <f t="shared" si="19"/>
        <v>0</v>
      </c>
      <c r="AI19" s="302">
        <f t="shared" si="19"/>
        <v>0</v>
      </c>
      <c r="AJ19" s="302">
        <f t="shared" si="19"/>
        <v>0</v>
      </c>
      <c r="AK19" s="302">
        <f t="shared" si="19"/>
        <v>0</v>
      </c>
      <c r="AL19" s="302">
        <f t="shared" si="19"/>
        <v>0</v>
      </c>
      <c r="AM19" s="302">
        <f t="shared" si="19"/>
        <v>0</v>
      </c>
      <c r="AN19" s="302">
        <f t="shared" si="19"/>
        <v>0</v>
      </c>
      <c r="AO19" s="302">
        <f t="shared" si="19"/>
        <v>0</v>
      </c>
    </row>
    <row r="20" spans="1:41">
      <c r="A20" s="311">
        <v>2</v>
      </c>
      <c r="B20" s="259" t="str">
        <f>SheetData!M5</f>
        <v>อื่น ๆ</v>
      </c>
      <c r="C20" s="293">
        <v>0</v>
      </c>
      <c r="D20" s="293">
        <v>7000</v>
      </c>
      <c r="E20" s="460">
        <f t="shared" si="0"/>
        <v>1</v>
      </c>
      <c r="F20" s="220">
        <f t="shared" si="1"/>
        <v>7000</v>
      </c>
      <c r="H20" s="222">
        <f t="shared" si="2"/>
        <v>0</v>
      </c>
      <c r="I20" s="222">
        <f t="shared" si="3"/>
        <v>7000</v>
      </c>
      <c r="K20" s="229"/>
      <c r="O20" s="314"/>
      <c r="P20" s="314"/>
      <c r="Q20" s="314">
        <v>7000</v>
      </c>
      <c r="R20" s="314">
        <f t="shared" si="4"/>
        <v>0</v>
      </c>
      <c r="S20" s="314">
        <f t="shared" si="5"/>
        <v>0</v>
      </c>
      <c r="T20" s="314">
        <f t="shared" si="6"/>
        <v>0</v>
      </c>
      <c r="U20" s="314">
        <f t="shared" si="7"/>
        <v>0</v>
      </c>
      <c r="V20" s="314">
        <f t="shared" si="8"/>
        <v>0</v>
      </c>
      <c r="W20" s="314">
        <f t="shared" si="9"/>
        <v>0</v>
      </c>
      <c r="X20" s="314">
        <f t="shared" si="10"/>
        <v>0</v>
      </c>
      <c r="Y20" s="314">
        <f t="shared" si="11"/>
        <v>0</v>
      </c>
      <c r="Z20" s="314">
        <f t="shared" si="12"/>
        <v>0</v>
      </c>
      <c r="AD20" s="302">
        <f t="shared" ref="AD20:AO20" si="20">IF($A20=1,AC20,0)</f>
        <v>0</v>
      </c>
      <c r="AE20" s="302">
        <f t="shared" si="20"/>
        <v>0</v>
      </c>
      <c r="AF20" s="302">
        <f t="shared" si="20"/>
        <v>0</v>
      </c>
      <c r="AG20" s="302">
        <f t="shared" si="20"/>
        <v>0</v>
      </c>
      <c r="AH20" s="302">
        <f t="shared" si="20"/>
        <v>0</v>
      </c>
      <c r="AI20" s="302">
        <f t="shared" si="20"/>
        <v>0</v>
      </c>
      <c r="AJ20" s="302">
        <f t="shared" si="20"/>
        <v>0</v>
      </c>
      <c r="AK20" s="302">
        <f t="shared" si="20"/>
        <v>0</v>
      </c>
      <c r="AL20" s="302">
        <f t="shared" si="20"/>
        <v>0</v>
      </c>
      <c r="AM20" s="302">
        <f t="shared" si="20"/>
        <v>0</v>
      </c>
      <c r="AN20" s="302">
        <f t="shared" si="20"/>
        <v>0</v>
      </c>
      <c r="AO20" s="302">
        <f t="shared" si="20"/>
        <v>0</v>
      </c>
    </row>
    <row r="21" spans="1:41" hidden="1">
      <c r="A21" s="240" t="s">
        <v>252</v>
      </c>
      <c r="C21" s="241"/>
      <c r="D21" s="241"/>
      <c r="E21" s="242">
        <f>+E15</f>
        <v>12</v>
      </c>
      <c r="F21" s="297">
        <v>0</v>
      </c>
      <c r="K21" s="223" t="b">
        <v>0</v>
      </c>
      <c r="O21" s="312"/>
      <c r="P21" s="312"/>
      <c r="Q21" s="312"/>
      <c r="R21" s="312"/>
      <c r="S21" s="312"/>
      <c r="T21" s="312"/>
      <c r="U21" s="312"/>
      <c r="V21" s="312"/>
      <c r="W21" s="312"/>
      <c r="X21" s="312"/>
      <c r="Y21" s="312"/>
      <c r="Z21" s="312"/>
    </row>
    <row r="22" spans="1:41" hidden="1">
      <c r="A22" s="230" t="s">
        <v>253</v>
      </c>
      <c r="C22" s="241"/>
      <c r="D22" s="241"/>
      <c r="E22" s="242">
        <f>E13</f>
        <v>12</v>
      </c>
      <c r="F22" s="297">
        <v>0</v>
      </c>
      <c r="K22" s="223" t="b">
        <v>0</v>
      </c>
      <c r="O22" s="312"/>
      <c r="P22" s="312"/>
      <c r="Q22" s="312"/>
      <c r="R22" s="312"/>
      <c r="S22" s="312"/>
      <c r="T22" s="312"/>
      <c r="U22" s="312"/>
      <c r="V22" s="312"/>
      <c r="W22" s="312"/>
      <c r="X22" s="312"/>
      <c r="Y22" s="312"/>
      <c r="Z22" s="312"/>
    </row>
    <row r="23" spans="1:41">
      <c r="A23" s="218" t="s">
        <v>254</v>
      </c>
      <c r="B23" s="217" t="s">
        <v>255</v>
      </c>
      <c r="D23" s="230"/>
      <c r="F23" s="220">
        <f>-IF(D40-J40&lt;0,0,IF(D40-J40&lt;J23,D40-J40,J23))</f>
        <v>0</v>
      </c>
      <c r="H23" s="222">
        <f>+F23</f>
        <v>0</v>
      </c>
      <c r="I23" s="222">
        <f>+F23</f>
        <v>0</v>
      </c>
      <c r="J23" s="222">
        <v>290000</v>
      </c>
      <c r="O23" s="312"/>
      <c r="P23" s="312"/>
      <c r="Q23" s="312"/>
      <c r="R23" s="312"/>
      <c r="S23" s="312"/>
      <c r="T23" s="312"/>
      <c r="U23" s="312"/>
      <c r="V23" s="312"/>
      <c r="W23" s="312"/>
      <c r="X23" s="312"/>
      <c r="Y23" s="312"/>
      <c r="Z23" s="312"/>
    </row>
    <row r="24" spans="1:41">
      <c r="A24" s="243" t="s">
        <v>60</v>
      </c>
      <c r="D24" s="244">
        <f t="shared" ref="D24:I24" si="21">SUM(D13:D23)</f>
        <v>63000</v>
      </c>
      <c r="F24" s="245">
        <f t="shared" si="21"/>
        <v>634000</v>
      </c>
      <c r="H24" s="246">
        <f t="shared" si="21"/>
        <v>616000</v>
      </c>
      <c r="I24" s="246">
        <f t="shared" si="21"/>
        <v>634000</v>
      </c>
      <c r="O24" s="312"/>
      <c r="P24" s="312"/>
      <c r="Q24" s="312"/>
      <c r="R24" s="312"/>
      <c r="S24" s="312"/>
      <c r="T24" s="312"/>
      <c r="U24" s="312"/>
      <c r="V24" s="312"/>
      <c r="W24" s="312"/>
      <c r="X24" s="312"/>
      <c r="Y24" s="312"/>
      <c r="Z24" s="312"/>
    </row>
    <row r="25" spans="1:41">
      <c r="A25" s="218" t="s">
        <v>254</v>
      </c>
      <c r="B25" s="217" t="s">
        <v>256</v>
      </c>
      <c r="D25" s="216"/>
      <c r="F25" s="220">
        <f>IF(F24*40%&gt;J25,J25,F24*40%)</f>
        <v>60000</v>
      </c>
      <c r="H25" s="222">
        <f t="shared" ref="H25:H44" si="22">+F25</f>
        <v>60000</v>
      </c>
      <c r="I25" s="222">
        <f t="shared" ref="I25:I44" si="23">+F25</f>
        <v>60000</v>
      </c>
      <c r="J25" s="222">
        <v>60000</v>
      </c>
      <c r="O25" s="312"/>
      <c r="P25" s="312"/>
      <c r="Q25" s="312"/>
      <c r="R25" s="312"/>
      <c r="S25" s="312"/>
      <c r="T25" s="312"/>
      <c r="U25" s="312"/>
      <c r="V25" s="312"/>
      <c r="W25" s="312"/>
      <c r="X25" s="312"/>
      <c r="Y25" s="312"/>
      <c r="Z25" s="312"/>
    </row>
    <row r="26" spans="1:41">
      <c r="B26" s="216" t="s">
        <v>257</v>
      </c>
      <c r="E26" s="216"/>
      <c r="F26" s="220">
        <f>+J26</f>
        <v>30000</v>
      </c>
      <c r="H26" s="222">
        <f t="shared" si="22"/>
        <v>30000</v>
      </c>
      <c r="I26" s="222">
        <f t="shared" si="23"/>
        <v>30000</v>
      </c>
      <c r="J26" s="222">
        <v>30000</v>
      </c>
      <c r="K26" s="247"/>
      <c r="O26" s="312"/>
      <c r="P26" s="312"/>
      <c r="Q26" s="312"/>
      <c r="R26" s="312"/>
      <c r="S26" s="312"/>
      <c r="T26" s="312"/>
      <c r="U26" s="312"/>
      <c r="V26" s="312"/>
      <c r="W26" s="312"/>
      <c r="X26" s="312"/>
      <c r="Y26" s="312"/>
      <c r="Z26" s="312"/>
    </row>
    <row r="27" spans="1:41">
      <c r="B27" s="248" t="s">
        <v>258</v>
      </c>
      <c r="C27" s="249" t="str">
        <f>CHOOSE(K27,"โสด","หม้าย","คู่สมรสไม่มีเงินได้","คู่สมรสมีเงินได้")</f>
        <v>โสด</v>
      </c>
      <c r="D27" s="250"/>
      <c r="E27" s="216"/>
      <c r="F27" s="220">
        <f>IF(K27=3,J27,0)</f>
        <v>0</v>
      </c>
      <c r="H27" s="222">
        <f t="shared" si="22"/>
        <v>0</v>
      </c>
      <c r="I27" s="222">
        <f t="shared" si="23"/>
        <v>0</v>
      </c>
      <c r="J27" s="222">
        <v>30000</v>
      </c>
      <c r="K27" s="247">
        <v>1</v>
      </c>
      <c r="N27" s="217" t="s">
        <v>259</v>
      </c>
      <c r="O27" s="303">
        <v>1</v>
      </c>
      <c r="P27" s="303">
        <f t="shared" ref="P27:P43" si="24">O27</f>
        <v>1</v>
      </c>
      <c r="Q27" s="303">
        <f t="shared" ref="Q27:Q43" si="25">P27</f>
        <v>1</v>
      </c>
      <c r="R27" s="303">
        <f t="shared" ref="R27:R44" si="26">Q27</f>
        <v>1</v>
      </c>
      <c r="S27" s="303">
        <f t="shared" ref="S27:S44" si="27">R27</f>
        <v>1</v>
      </c>
      <c r="T27" s="303">
        <f t="shared" ref="T27:T44" si="28">S27</f>
        <v>1</v>
      </c>
      <c r="U27" s="303">
        <f t="shared" ref="U27:U44" si="29">T27</f>
        <v>1</v>
      </c>
      <c r="V27" s="303">
        <f t="shared" ref="V27:V44" si="30">U27</f>
        <v>1</v>
      </c>
      <c r="W27" s="303">
        <f t="shared" ref="W27:W44" si="31">V27</f>
        <v>1</v>
      </c>
      <c r="X27" s="303">
        <f t="shared" ref="X27:X44" si="32">W27</f>
        <v>1</v>
      </c>
      <c r="Y27" s="303">
        <f t="shared" ref="Y27:Y44" si="33">X27</f>
        <v>1</v>
      </c>
      <c r="Z27" s="303">
        <f t="shared" ref="Z27:Z44" si="34">Y27</f>
        <v>1</v>
      </c>
      <c r="AD27" s="303">
        <v>1</v>
      </c>
      <c r="AE27" s="303">
        <f t="shared" ref="AE27:AO27" si="35">AD27</f>
        <v>1</v>
      </c>
      <c r="AF27" s="303">
        <f t="shared" si="35"/>
        <v>1</v>
      </c>
      <c r="AG27" s="303">
        <f t="shared" si="35"/>
        <v>1</v>
      </c>
      <c r="AH27" s="303">
        <f t="shared" si="35"/>
        <v>1</v>
      </c>
      <c r="AI27" s="303">
        <f t="shared" si="35"/>
        <v>1</v>
      </c>
      <c r="AJ27" s="303">
        <f t="shared" si="35"/>
        <v>1</v>
      </c>
      <c r="AK27" s="303">
        <f t="shared" si="35"/>
        <v>1</v>
      </c>
      <c r="AL27" s="303">
        <f t="shared" si="35"/>
        <v>1</v>
      </c>
      <c r="AM27" s="303">
        <f t="shared" si="35"/>
        <v>1</v>
      </c>
      <c r="AN27" s="303">
        <f t="shared" si="35"/>
        <v>1</v>
      </c>
      <c r="AO27" s="303">
        <f t="shared" si="35"/>
        <v>1</v>
      </c>
    </row>
    <row r="28" spans="1:41">
      <c r="B28" s="299" t="s">
        <v>261</v>
      </c>
      <c r="C28" s="251"/>
      <c r="D28" s="252">
        <f>K28-1</f>
        <v>0</v>
      </c>
      <c r="E28" s="216"/>
      <c r="F28" s="220">
        <f>J28*D28*IF(K$27=2,0.5,1)</f>
        <v>0</v>
      </c>
      <c r="H28" s="222">
        <f t="shared" si="22"/>
        <v>0</v>
      </c>
      <c r="I28" s="222">
        <f t="shared" si="23"/>
        <v>0</v>
      </c>
      <c r="J28" s="222">
        <v>17000</v>
      </c>
      <c r="K28" s="247">
        <v>1</v>
      </c>
      <c r="O28" s="303">
        <v>1</v>
      </c>
      <c r="P28" s="303">
        <f t="shared" si="24"/>
        <v>1</v>
      </c>
      <c r="Q28" s="303">
        <f t="shared" si="25"/>
        <v>1</v>
      </c>
      <c r="R28" s="303">
        <f t="shared" si="26"/>
        <v>1</v>
      </c>
      <c r="S28" s="303">
        <f t="shared" si="27"/>
        <v>1</v>
      </c>
      <c r="T28" s="303">
        <f t="shared" si="28"/>
        <v>1</v>
      </c>
      <c r="U28" s="303">
        <f t="shared" si="29"/>
        <v>1</v>
      </c>
      <c r="V28" s="303">
        <f t="shared" si="30"/>
        <v>1</v>
      </c>
      <c r="W28" s="303">
        <f t="shared" si="31"/>
        <v>1</v>
      </c>
      <c r="X28" s="303">
        <f t="shared" si="32"/>
        <v>1</v>
      </c>
      <c r="Y28" s="303">
        <f t="shared" si="33"/>
        <v>1</v>
      </c>
      <c r="Z28" s="303">
        <f t="shared" si="34"/>
        <v>1</v>
      </c>
      <c r="AD28" s="303">
        <v>1</v>
      </c>
      <c r="AE28" s="303">
        <f t="shared" ref="AE28:AO28" si="36">AD28</f>
        <v>1</v>
      </c>
      <c r="AF28" s="303">
        <f t="shared" si="36"/>
        <v>1</v>
      </c>
      <c r="AG28" s="303">
        <f t="shared" si="36"/>
        <v>1</v>
      </c>
      <c r="AH28" s="303">
        <f t="shared" si="36"/>
        <v>1</v>
      </c>
      <c r="AI28" s="303">
        <f t="shared" si="36"/>
        <v>1</v>
      </c>
      <c r="AJ28" s="303">
        <f t="shared" si="36"/>
        <v>1</v>
      </c>
      <c r="AK28" s="303">
        <f t="shared" si="36"/>
        <v>1</v>
      </c>
      <c r="AL28" s="303">
        <f t="shared" si="36"/>
        <v>1</v>
      </c>
      <c r="AM28" s="303">
        <f t="shared" si="36"/>
        <v>1</v>
      </c>
      <c r="AN28" s="303">
        <f t="shared" si="36"/>
        <v>1</v>
      </c>
      <c r="AO28" s="303">
        <f t="shared" si="36"/>
        <v>1</v>
      </c>
    </row>
    <row r="29" spans="1:41">
      <c r="B29" s="248" t="s">
        <v>260</v>
      </c>
      <c r="C29" s="251"/>
      <c r="D29" s="252">
        <f>K29-1</f>
        <v>0</v>
      </c>
      <c r="E29" s="216"/>
      <c r="F29" s="220">
        <f>J29*D29*IF(K$27=2,0.5,1)</f>
        <v>0</v>
      </c>
      <c r="H29" s="222">
        <f t="shared" si="22"/>
        <v>0</v>
      </c>
      <c r="I29" s="222">
        <f t="shared" si="23"/>
        <v>0</v>
      </c>
      <c r="J29" s="222">
        <v>15000</v>
      </c>
      <c r="K29" s="247">
        <v>1</v>
      </c>
      <c r="O29" s="303">
        <v>1</v>
      </c>
      <c r="P29" s="303">
        <f t="shared" si="24"/>
        <v>1</v>
      </c>
      <c r="Q29" s="303">
        <f t="shared" si="25"/>
        <v>1</v>
      </c>
      <c r="R29" s="303">
        <f t="shared" si="26"/>
        <v>1</v>
      </c>
      <c r="S29" s="303">
        <f t="shared" si="27"/>
        <v>1</v>
      </c>
      <c r="T29" s="303">
        <f t="shared" si="28"/>
        <v>1</v>
      </c>
      <c r="U29" s="303">
        <f t="shared" si="29"/>
        <v>1</v>
      </c>
      <c r="V29" s="303">
        <f t="shared" si="30"/>
        <v>1</v>
      </c>
      <c r="W29" s="303">
        <f t="shared" si="31"/>
        <v>1</v>
      </c>
      <c r="X29" s="303">
        <f t="shared" si="32"/>
        <v>1</v>
      </c>
      <c r="Y29" s="303">
        <f t="shared" si="33"/>
        <v>1</v>
      </c>
      <c r="Z29" s="303">
        <f t="shared" si="34"/>
        <v>1</v>
      </c>
      <c r="AD29" s="303">
        <v>1</v>
      </c>
      <c r="AE29" s="303">
        <f t="shared" ref="AE29:AO29" si="37">AD29</f>
        <v>1</v>
      </c>
      <c r="AF29" s="303">
        <f t="shared" si="37"/>
        <v>1</v>
      </c>
      <c r="AG29" s="303">
        <f t="shared" si="37"/>
        <v>1</v>
      </c>
      <c r="AH29" s="303">
        <f t="shared" si="37"/>
        <v>1</v>
      </c>
      <c r="AI29" s="303">
        <f t="shared" si="37"/>
        <v>1</v>
      </c>
      <c r="AJ29" s="303">
        <f t="shared" si="37"/>
        <v>1</v>
      </c>
      <c r="AK29" s="303">
        <f t="shared" si="37"/>
        <v>1</v>
      </c>
      <c r="AL29" s="303">
        <f t="shared" si="37"/>
        <v>1</v>
      </c>
      <c r="AM29" s="303">
        <f t="shared" si="37"/>
        <v>1</v>
      </c>
      <c r="AN29" s="303">
        <f t="shared" si="37"/>
        <v>1</v>
      </c>
      <c r="AO29" s="303">
        <f t="shared" si="37"/>
        <v>1</v>
      </c>
    </row>
    <row r="30" spans="1:41">
      <c r="B30" s="216" t="s">
        <v>262</v>
      </c>
      <c r="C30" s="294"/>
      <c r="D30" s="293">
        <v>0</v>
      </c>
      <c r="F30" s="220">
        <f>IF(D30&lt;J30,D30,J30)</f>
        <v>0</v>
      </c>
      <c r="H30" s="222">
        <f t="shared" ref="H30:H37" si="38">+F30</f>
        <v>0</v>
      </c>
      <c r="I30" s="222">
        <f t="shared" ref="I30:I37" si="39">+F30</f>
        <v>0</v>
      </c>
      <c r="J30" s="222">
        <v>30000</v>
      </c>
      <c r="K30" s="247"/>
      <c r="O30" s="314"/>
      <c r="P30" s="314">
        <f t="shared" si="24"/>
        <v>0</v>
      </c>
      <c r="Q30" s="314">
        <f t="shared" si="25"/>
        <v>0</v>
      </c>
      <c r="R30" s="314">
        <f t="shared" si="26"/>
        <v>0</v>
      </c>
      <c r="S30" s="314">
        <f t="shared" si="27"/>
        <v>0</v>
      </c>
      <c r="T30" s="314">
        <f t="shared" si="28"/>
        <v>0</v>
      </c>
      <c r="U30" s="314">
        <f t="shared" si="29"/>
        <v>0</v>
      </c>
      <c r="V30" s="314">
        <f t="shared" si="30"/>
        <v>0</v>
      </c>
      <c r="W30" s="314">
        <f t="shared" si="31"/>
        <v>0</v>
      </c>
      <c r="X30" s="314">
        <f t="shared" si="32"/>
        <v>0</v>
      </c>
      <c r="Y30" s="314">
        <f t="shared" si="33"/>
        <v>0</v>
      </c>
      <c r="Z30" s="314">
        <f t="shared" si="34"/>
        <v>0</v>
      </c>
      <c r="AD30" s="302">
        <v>0</v>
      </c>
      <c r="AE30" s="302">
        <f t="shared" ref="AE30:AO30" si="40">AD30</f>
        <v>0</v>
      </c>
      <c r="AF30" s="302">
        <f t="shared" si="40"/>
        <v>0</v>
      </c>
      <c r="AG30" s="302">
        <f t="shared" si="40"/>
        <v>0</v>
      </c>
      <c r="AH30" s="302">
        <f t="shared" si="40"/>
        <v>0</v>
      </c>
      <c r="AI30" s="302">
        <f t="shared" si="40"/>
        <v>0</v>
      </c>
      <c r="AJ30" s="302">
        <f t="shared" si="40"/>
        <v>0</v>
      </c>
      <c r="AK30" s="302">
        <f t="shared" si="40"/>
        <v>0</v>
      </c>
      <c r="AL30" s="302">
        <f t="shared" si="40"/>
        <v>0</v>
      </c>
      <c r="AM30" s="302">
        <f t="shared" si="40"/>
        <v>0</v>
      </c>
      <c r="AN30" s="302">
        <f t="shared" si="40"/>
        <v>0</v>
      </c>
      <c r="AO30" s="302">
        <f t="shared" si="40"/>
        <v>0</v>
      </c>
    </row>
    <row r="31" spans="1:41">
      <c r="B31" s="216" t="s">
        <v>263</v>
      </c>
      <c r="C31" s="294"/>
      <c r="D31" s="293">
        <v>0</v>
      </c>
      <c r="F31" s="220">
        <f>IF(D31&lt;J31,D31,J31)</f>
        <v>0</v>
      </c>
      <c r="H31" s="222">
        <f t="shared" si="38"/>
        <v>0</v>
      </c>
      <c r="I31" s="222">
        <f t="shared" si="39"/>
        <v>0</v>
      </c>
      <c r="J31" s="222">
        <v>30000</v>
      </c>
      <c r="K31" s="247"/>
      <c r="O31" s="314"/>
      <c r="P31" s="314">
        <f t="shared" si="24"/>
        <v>0</v>
      </c>
      <c r="Q31" s="314">
        <f t="shared" si="25"/>
        <v>0</v>
      </c>
      <c r="R31" s="314">
        <f t="shared" si="26"/>
        <v>0</v>
      </c>
      <c r="S31" s="314">
        <f t="shared" si="27"/>
        <v>0</v>
      </c>
      <c r="T31" s="314">
        <f t="shared" si="28"/>
        <v>0</v>
      </c>
      <c r="U31" s="314">
        <f t="shared" si="29"/>
        <v>0</v>
      </c>
      <c r="V31" s="314">
        <f t="shared" si="30"/>
        <v>0</v>
      </c>
      <c r="W31" s="314">
        <f t="shared" si="31"/>
        <v>0</v>
      </c>
      <c r="X31" s="314">
        <f t="shared" si="32"/>
        <v>0</v>
      </c>
      <c r="Y31" s="314">
        <f t="shared" si="33"/>
        <v>0</v>
      </c>
      <c r="Z31" s="314">
        <f t="shared" si="34"/>
        <v>0</v>
      </c>
      <c r="AD31" s="302">
        <v>0</v>
      </c>
      <c r="AE31" s="302">
        <f t="shared" ref="AE31:AO31" si="41">AD31</f>
        <v>0</v>
      </c>
      <c r="AF31" s="302">
        <f t="shared" si="41"/>
        <v>0</v>
      </c>
      <c r="AG31" s="302">
        <f t="shared" si="41"/>
        <v>0</v>
      </c>
      <c r="AH31" s="302">
        <f t="shared" si="41"/>
        <v>0</v>
      </c>
      <c r="AI31" s="302">
        <f t="shared" si="41"/>
        <v>0</v>
      </c>
      <c r="AJ31" s="302">
        <f t="shared" si="41"/>
        <v>0</v>
      </c>
      <c r="AK31" s="302">
        <f t="shared" si="41"/>
        <v>0</v>
      </c>
      <c r="AL31" s="302">
        <f t="shared" si="41"/>
        <v>0</v>
      </c>
      <c r="AM31" s="302">
        <f t="shared" si="41"/>
        <v>0</v>
      </c>
      <c r="AN31" s="302">
        <f t="shared" si="41"/>
        <v>0</v>
      </c>
      <c r="AO31" s="302">
        <f t="shared" si="41"/>
        <v>0</v>
      </c>
    </row>
    <row r="32" spans="1:41">
      <c r="B32" s="248" t="s">
        <v>264</v>
      </c>
      <c r="C32" s="294"/>
      <c r="D32" s="293">
        <v>0</v>
      </c>
      <c r="F32" s="220">
        <f>IF(D32&lt;J32,D32,J32)*IF($K$27=3,1,0)</f>
        <v>0</v>
      </c>
      <c r="H32" s="222">
        <f t="shared" si="38"/>
        <v>0</v>
      </c>
      <c r="I32" s="222">
        <f t="shared" si="39"/>
        <v>0</v>
      </c>
      <c r="J32" s="222">
        <v>30000</v>
      </c>
      <c r="K32" s="247"/>
      <c r="O32" s="314"/>
      <c r="P32" s="314">
        <f t="shared" si="24"/>
        <v>0</v>
      </c>
      <c r="Q32" s="314">
        <f t="shared" si="25"/>
        <v>0</v>
      </c>
      <c r="R32" s="314">
        <f t="shared" si="26"/>
        <v>0</v>
      </c>
      <c r="S32" s="314">
        <f t="shared" si="27"/>
        <v>0</v>
      </c>
      <c r="T32" s="314">
        <f t="shared" si="28"/>
        <v>0</v>
      </c>
      <c r="U32" s="314">
        <f t="shared" si="29"/>
        <v>0</v>
      </c>
      <c r="V32" s="314">
        <f t="shared" si="30"/>
        <v>0</v>
      </c>
      <c r="W32" s="314">
        <f t="shared" si="31"/>
        <v>0</v>
      </c>
      <c r="X32" s="314">
        <f t="shared" si="32"/>
        <v>0</v>
      </c>
      <c r="Y32" s="314">
        <f t="shared" si="33"/>
        <v>0</v>
      </c>
      <c r="Z32" s="314">
        <f t="shared" si="34"/>
        <v>0</v>
      </c>
      <c r="AD32" s="302">
        <v>0</v>
      </c>
      <c r="AE32" s="302">
        <f t="shared" ref="AE32:AO32" si="42">AD32</f>
        <v>0</v>
      </c>
      <c r="AF32" s="302">
        <f t="shared" si="42"/>
        <v>0</v>
      </c>
      <c r="AG32" s="302">
        <f t="shared" si="42"/>
        <v>0</v>
      </c>
      <c r="AH32" s="302">
        <f t="shared" si="42"/>
        <v>0</v>
      </c>
      <c r="AI32" s="302">
        <f t="shared" si="42"/>
        <v>0</v>
      </c>
      <c r="AJ32" s="302">
        <f t="shared" si="42"/>
        <v>0</v>
      </c>
      <c r="AK32" s="302">
        <f t="shared" si="42"/>
        <v>0</v>
      </c>
      <c r="AL32" s="302">
        <f t="shared" si="42"/>
        <v>0</v>
      </c>
      <c r="AM32" s="302">
        <f t="shared" si="42"/>
        <v>0</v>
      </c>
      <c r="AN32" s="302">
        <f t="shared" si="42"/>
        <v>0</v>
      </c>
      <c r="AO32" s="302">
        <f t="shared" si="42"/>
        <v>0</v>
      </c>
    </row>
    <row r="33" spans="1:41">
      <c r="B33" s="248" t="s">
        <v>265</v>
      </c>
      <c r="C33" s="294"/>
      <c r="D33" s="293">
        <v>0</v>
      </c>
      <c r="F33" s="220">
        <f>IF(D33&lt;J33,D33,J33)*IF($K$27=3,1,0)</f>
        <v>0</v>
      </c>
      <c r="H33" s="222">
        <f t="shared" si="38"/>
        <v>0</v>
      </c>
      <c r="I33" s="222">
        <f t="shared" si="39"/>
        <v>0</v>
      </c>
      <c r="J33" s="222">
        <v>30000</v>
      </c>
      <c r="K33" s="247"/>
      <c r="O33" s="314"/>
      <c r="P33" s="314">
        <f t="shared" si="24"/>
        <v>0</v>
      </c>
      <c r="Q33" s="314">
        <f t="shared" si="25"/>
        <v>0</v>
      </c>
      <c r="R33" s="314">
        <f t="shared" si="26"/>
        <v>0</v>
      </c>
      <c r="S33" s="314">
        <f t="shared" si="27"/>
        <v>0</v>
      </c>
      <c r="T33" s="314">
        <f t="shared" si="28"/>
        <v>0</v>
      </c>
      <c r="U33" s="314">
        <f t="shared" si="29"/>
        <v>0</v>
      </c>
      <c r="V33" s="314">
        <f t="shared" si="30"/>
        <v>0</v>
      </c>
      <c r="W33" s="314">
        <f t="shared" si="31"/>
        <v>0</v>
      </c>
      <c r="X33" s="314">
        <f t="shared" si="32"/>
        <v>0</v>
      </c>
      <c r="Y33" s="314">
        <f t="shared" si="33"/>
        <v>0</v>
      </c>
      <c r="Z33" s="314">
        <f t="shared" si="34"/>
        <v>0</v>
      </c>
      <c r="AD33" s="302">
        <v>0</v>
      </c>
      <c r="AE33" s="302">
        <f t="shared" ref="AE33:AO33" si="43">AD33</f>
        <v>0</v>
      </c>
      <c r="AF33" s="302">
        <f t="shared" si="43"/>
        <v>0</v>
      </c>
      <c r="AG33" s="302">
        <f t="shared" si="43"/>
        <v>0</v>
      </c>
      <c r="AH33" s="302">
        <f t="shared" si="43"/>
        <v>0</v>
      </c>
      <c r="AI33" s="302">
        <f t="shared" si="43"/>
        <v>0</v>
      </c>
      <c r="AJ33" s="302">
        <f t="shared" si="43"/>
        <v>0</v>
      </c>
      <c r="AK33" s="302">
        <f t="shared" si="43"/>
        <v>0</v>
      </c>
      <c r="AL33" s="302">
        <f t="shared" si="43"/>
        <v>0</v>
      </c>
      <c r="AM33" s="302">
        <f t="shared" si="43"/>
        <v>0</v>
      </c>
      <c r="AN33" s="302">
        <f t="shared" si="43"/>
        <v>0</v>
      </c>
      <c r="AO33" s="302">
        <f t="shared" si="43"/>
        <v>0</v>
      </c>
    </row>
    <row r="34" spans="1:41">
      <c r="B34" s="291" t="s">
        <v>288</v>
      </c>
      <c r="C34" s="294"/>
      <c r="D34" s="293">
        <v>0</v>
      </c>
      <c r="F34" s="220">
        <f>IF(D34&lt;J34,D34,J34)</f>
        <v>0</v>
      </c>
      <c r="H34" s="222">
        <f t="shared" si="38"/>
        <v>0</v>
      </c>
      <c r="I34" s="222">
        <f t="shared" si="39"/>
        <v>0</v>
      </c>
      <c r="J34" s="222">
        <v>15000</v>
      </c>
      <c r="K34" s="247"/>
      <c r="O34" s="314"/>
      <c r="P34" s="314">
        <f t="shared" si="24"/>
        <v>0</v>
      </c>
      <c r="Q34" s="314">
        <f t="shared" si="25"/>
        <v>0</v>
      </c>
      <c r="R34" s="314">
        <f t="shared" si="26"/>
        <v>0</v>
      </c>
      <c r="S34" s="314">
        <f t="shared" si="27"/>
        <v>0</v>
      </c>
      <c r="T34" s="314">
        <f t="shared" si="28"/>
        <v>0</v>
      </c>
      <c r="U34" s="314">
        <f t="shared" si="29"/>
        <v>0</v>
      </c>
      <c r="V34" s="314">
        <f t="shared" si="30"/>
        <v>0</v>
      </c>
      <c r="W34" s="314">
        <f t="shared" si="31"/>
        <v>0</v>
      </c>
      <c r="X34" s="314">
        <f t="shared" si="32"/>
        <v>0</v>
      </c>
      <c r="Y34" s="314">
        <f t="shared" si="33"/>
        <v>0</v>
      </c>
      <c r="Z34" s="314">
        <f t="shared" si="34"/>
        <v>0</v>
      </c>
      <c r="AD34" s="302">
        <v>0</v>
      </c>
      <c r="AE34" s="302">
        <f t="shared" ref="AE34:AO34" si="44">AD34</f>
        <v>0</v>
      </c>
      <c r="AF34" s="302">
        <f t="shared" si="44"/>
        <v>0</v>
      </c>
      <c r="AG34" s="302">
        <f t="shared" si="44"/>
        <v>0</v>
      </c>
      <c r="AH34" s="302">
        <f t="shared" si="44"/>
        <v>0</v>
      </c>
      <c r="AI34" s="302">
        <f t="shared" si="44"/>
        <v>0</v>
      </c>
      <c r="AJ34" s="302">
        <f t="shared" si="44"/>
        <v>0</v>
      </c>
      <c r="AK34" s="302">
        <f t="shared" si="44"/>
        <v>0</v>
      </c>
      <c r="AL34" s="302">
        <f t="shared" si="44"/>
        <v>0</v>
      </c>
      <c r="AM34" s="302">
        <f t="shared" si="44"/>
        <v>0</v>
      </c>
      <c r="AN34" s="302">
        <f t="shared" si="44"/>
        <v>0</v>
      </c>
      <c r="AO34" s="302">
        <f t="shared" si="44"/>
        <v>0</v>
      </c>
    </row>
    <row r="35" spans="1:41">
      <c r="B35" s="291" t="s">
        <v>289</v>
      </c>
      <c r="C35" s="294"/>
      <c r="D35" s="293">
        <v>0</v>
      </c>
      <c r="F35" s="220">
        <f>IF(D35&lt;J35,D35,J35)</f>
        <v>0</v>
      </c>
      <c r="H35" s="222">
        <f t="shared" si="38"/>
        <v>0</v>
      </c>
      <c r="I35" s="222">
        <f t="shared" si="39"/>
        <v>0</v>
      </c>
      <c r="J35" s="222">
        <v>15000</v>
      </c>
      <c r="K35" s="247"/>
      <c r="O35" s="314"/>
      <c r="P35" s="314">
        <f t="shared" si="24"/>
        <v>0</v>
      </c>
      <c r="Q35" s="314">
        <f t="shared" si="25"/>
        <v>0</v>
      </c>
      <c r="R35" s="314">
        <f t="shared" si="26"/>
        <v>0</v>
      </c>
      <c r="S35" s="314">
        <f t="shared" si="27"/>
        <v>0</v>
      </c>
      <c r="T35" s="314">
        <f t="shared" si="28"/>
        <v>0</v>
      </c>
      <c r="U35" s="314">
        <f t="shared" si="29"/>
        <v>0</v>
      </c>
      <c r="V35" s="314">
        <f t="shared" si="30"/>
        <v>0</v>
      </c>
      <c r="W35" s="314">
        <f t="shared" si="31"/>
        <v>0</v>
      </c>
      <c r="X35" s="314">
        <f t="shared" si="32"/>
        <v>0</v>
      </c>
      <c r="Y35" s="314">
        <f t="shared" si="33"/>
        <v>0</v>
      </c>
      <c r="Z35" s="314">
        <f t="shared" si="34"/>
        <v>0</v>
      </c>
      <c r="AD35" s="302">
        <v>0</v>
      </c>
      <c r="AE35" s="302">
        <f t="shared" ref="AE35:AO35" si="45">AD35</f>
        <v>0</v>
      </c>
      <c r="AF35" s="302">
        <f t="shared" si="45"/>
        <v>0</v>
      </c>
      <c r="AG35" s="302">
        <f t="shared" si="45"/>
        <v>0</v>
      </c>
      <c r="AH35" s="302">
        <f t="shared" si="45"/>
        <v>0</v>
      </c>
      <c r="AI35" s="302">
        <f t="shared" si="45"/>
        <v>0</v>
      </c>
      <c r="AJ35" s="302">
        <f t="shared" si="45"/>
        <v>0</v>
      </c>
      <c r="AK35" s="302">
        <f t="shared" si="45"/>
        <v>0</v>
      </c>
      <c r="AL35" s="302">
        <f t="shared" si="45"/>
        <v>0</v>
      </c>
      <c r="AM35" s="302">
        <f t="shared" si="45"/>
        <v>0</v>
      </c>
      <c r="AN35" s="302">
        <f t="shared" si="45"/>
        <v>0</v>
      </c>
      <c r="AO35" s="302">
        <f t="shared" si="45"/>
        <v>0</v>
      </c>
    </row>
    <row r="36" spans="1:41">
      <c r="B36" s="248" t="s">
        <v>290</v>
      </c>
      <c r="C36" s="294"/>
      <c r="D36" s="293">
        <v>0</v>
      </c>
      <c r="F36" s="220">
        <f>IF(D36&lt;J36,D36,J36)*IF($K$27=3,1,0)</f>
        <v>0</v>
      </c>
      <c r="H36" s="222">
        <f t="shared" si="38"/>
        <v>0</v>
      </c>
      <c r="I36" s="222">
        <f t="shared" si="39"/>
        <v>0</v>
      </c>
      <c r="J36" s="222">
        <v>15000</v>
      </c>
      <c r="K36" s="247"/>
      <c r="O36" s="314"/>
      <c r="P36" s="314">
        <f t="shared" si="24"/>
        <v>0</v>
      </c>
      <c r="Q36" s="314">
        <f t="shared" si="25"/>
        <v>0</v>
      </c>
      <c r="R36" s="314">
        <f t="shared" si="26"/>
        <v>0</v>
      </c>
      <c r="S36" s="314">
        <f t="shared" si="27"/>
        <v>0</v>
      </c>
      <c r="T36" s="314">
        <f t="shared" si="28"/>
        <v>0</v>
      </c>
      <c r="U36" s="314">
        <f t="shared" si="29"/>
        <v>0</v>
      </c>
      <c r="V36" s="314">
        <f t="shared" si="30"/>
        <v>0</v>
      </c>
      <c r="W36" s="314">
        <f t="shared" si="31"/>
        <v>0</v>
      </c>
      <c r="X36" s="314">
        <f t="shared" si="32"/>
        <v>0</v>
      </c>
      <c r="Y36" s="314">
        <f t="shared" si="33"/>
        <v>0</v>
      </c>
      <c r="Z36" s="314">
        <f t="shared" si="34"/>
        <v>0</v>
      </c>
      <c r="AD36" s="302">
        <v>0</v>
      </c>
      <c r="AE36" s="302">
        <f t="shared" ref="AE36:AO36" si="46">AD36</f>
        <v>0</v>
      </c>
      <c r="AF36" s="302">
        <f t="shared" si="46"/>
        <v>0</v>
      </c>
      <c r="AG36" s="302">
        <f t="shared" si="46"/>
        <v>0</v>
      </c>
      <c r="AH36" s="302">
        <f t="shared" si="46"/>
        <v>0</v>
      </c>
      <c r="AI36" s="302">
        <f t="shared" si="46"/>
        <v>0</v>
      </c>
      <c r="AJ36" s="302">
        <f t="shared" si="46"/>
        <v>0</v>
      </c>
      <c r="AK36" s="302">
        <f t="shared" si="46"/>
        <v>0</v>
      </c>
      <c r="AL36" s="302">
        <f t="shared" si="46"/>
        <v>0</v>
      </c>
      <c r="AM36" s="302">
        <f t="shared" si="46"/>
        <v>0</v>
      </c>
      <c r="AN36" s="302">
        <f t="shared" si="46"/>
        <v>0</v>
      </c>
      <c r="AO36" s="302">
        <f t="shared" si="46"/>
        <v>0</v>
      </c>
    </row>
    <row r="37" spans="1:41">
      <c r="B37" s="248" t="s">
        <v>291</v>
      </c>
      <c r="C37" s="294"/>
      <c r="D37" s="293">
        <v>0</v>
      </c>
      <c r="F37" s="220">
        <f>IF(D37&lt;J37,D37,J37)*IF($K$27=3,1,0)</f>
        <v>0</v>
      </c>
      <c r="H37" s="222">
        <f t="shared" si="38"/>
        <v>0</v>
      </c>
      <c r="I37" s="222">
        <f t="shared" si="39"/>
        <v>0</v>
      </c>
      <c r="J37" s="222">
        <v>15000</v>
      </c>
      <c r="K37" s="247"/>
      <c r="O37" s="314"/>
      <c r="P37" s="314">
        <f t="shared" si="24"/>
        <v>0</v>
      </c>
      <c r="Q37" s="314">
        <f t="shared" si="25"/>
        <v>0</v>
      </c>
      <c r="R37" s="314">
        <f t="shared" si="26"/>
        <v>0</v>
      </c>
      <c r="S37" s="314">
        <f t="shared" si="27"/>
        <v>0</v>
      </c>
      <c r="T37" s="314">
        <f t="shared" si="28"/>
        <v>0</v>
      </c>
      <c r="U37" s="314">
        <f t="shared" si="29"/>
        <v>0</v>
      </c>
      <c r="V37" s="314">
        <f t="shared" si="30"/>
        <v>0</v>
      </c>
      <c r="W37" s="314">
        <f t="shared" si="31"/>
        <v>0</v>
      </c>
      <c r="X37" s="314">
        <f t="shared" si="32"/>
        <v>0</v>
      </c>
      <c r="Y37" s="314">
        <f t="shared" si="33"/>
        <v>0</v>
      </c>
      <c r="Z37" s="314">
        <f t="shared" si="34"/>
        <v>0</v>
      </c>
      <c r="AD37" s="302">
        <v>0</v>
      </c>
      <c r="AE37" s="302">
        <f t="shared" ref="AE37:AO37" si="47">AD37</f>
        <v>0</v>
      </c>
      <c r="AF37" s="302">
        <f t="shared" si="47"/>
        <v>0</v>
      </c>
      <c r="AG37" s="302">
        <f t="shared" si="47"/>
        <v>0</v>
      </c>
      <c r="AH37" s="302">
        <f t="shared" si="47"/>
        <v>0</v>
      </c>
      <c r="AI37" s="302">
        <f t="shared" si="47"/>
        <v>0</v>
      </c>
      <c r="AJ37" s="302">
        <f t="shared" si="47"/>
        <v>0</v>
      </c>
      <c r="AK37" s="302">
        <f t="shared" si="47"/>
        <v>0</v>
      </c>
      <c r="AL37" s="302">
        <f t="shared" si="47"/>
        <v>0</v>
      </c>
      <c r="AM37" s="302">
        <f t="shared" si="47"/>
        <v>0</v>
      </c>
      <c r="AN37" s="302">
        <f t="shared" si="47"/>
        <v>0</v>
      </c>
      <c r="AO37" s="302">
        <f t="shared" si="47"/>
        <v>0</v>
      </c>
    </row>
    <row r="38" spans="1:41">
      <c r="B38" s="248" t="s">
        <v>266</v>
      </c>
      <c r="C38" s="294" t="s">
        <v>267</v>
      </c>
      <c r="D38" s="293">
        <v>0</v>
      </c>
      <c r="F38" s="220">
        <f>IF(D38&lt;J38,D38,J38)</f>
        <v>0</v>
      </c>
      <c r="H38" s="222">
        <f t="shared" si="22"/>
        <v>0</v>
      </c>
      <c r="I38" s="222">
        <f t="shared" si="23"/>
        <v>0</v>
      </c>
      <c r="J38" s="222">
        <v>100000</v>
      </c>
      <c r="O38" s="314"/>
      <c r="P38" s="314">
        <f t="shared" si="24"/>
        <v>0</v>
      </c>
      <c r="Q38" s="314">
        <f t="shared" si="25"/>
        <v>0</v>
      </c>
      <c r="R38" s="314">
        <f t="shared" si="26"/>
        <v>0</v>
      </c>
      <c r="S38" s="314">
        <f t="shared" si="27"/>
        <v>0</v>
      </c>
      <c r="T38" s="314">
        <f t="shared" si="28"/>
        <v>0</v>
      </c>
      <c r="U38" s="314">
        <f t="shared" si="29"/>
        <v>0</v>
      </c>
      <c r="V38" s="314">
        <f t="shared" si="30"/>
        <v>0</v>
      </c>
      <c r="W38" s="314">
        <f t="shared" si="31"/>
        <v>0</v>
      </c>
      <c r="X38" s="314">
        <f t="shared" si="32"/>
        <v>0</v>
      </c>
      <c r="Y38" s="314">
        <f t="shared" si="33"/>
        <v>0</v>
      </c>
      <c r="Z38" s="314">
        <f t="shared" si="34"/>
        <v>0</v>
      </c>
      <c r="AD38" s="302">
        <v>0</v>
      </c>
      <c r="AE38" s="302">
        <f t="shared" ref="AE38:AO38" si="48">AD38</f>
        <v>0</v>
      </c>
      <c r="AF38" s="302">
        <f t="shared" si="48"/>
        <v>0</v>
      </c>
      <c r="AG38" s="302">
        <f t="shared" si="48"/>
        <v>0</v>
      </c>
      <c r="AH38" s="302">
        <f t="shared" si="48"/>
        <v>0</v>
      </c>
      <c r="AI38" s="302">
        <f t="shared" si="48"/>
        <v>0</v>
      </c>
      <c r="AJ38" s="302">
        <f t="shared" si="48"/>
        <v>0</v>
      </c>
      <c r="AK38" s="302">
        <f t="shared" si="48"/>
        <v>0</v>
      </c>
      <c r="AL38" s="302">
        <f t="shared" si="48"/>
        <v>0</v>
      </c>
      <c r="AM38" s="302">
        <f t="shared" si="48"/>
        <v>0</v>
      </c>
      <c r="AN38" s="302">
        <f t="shared" si="48"/>
        <v>0</v>
      </c>
      <c r="AO38" s="302">
        <f t="shared" si="48"/>
        <v>0</v>
      </c>
    </row>
    <row r="39" spans="1:41">
      <c r="B39" s="248" t="s">
        <v>268</v>
      </c>
      <c r="C39" s="294" t="s">
        <v>267</v>
      </c>
      <c r="D39" s="293">
        <v>0</v>
      </c>
      <c r="F39" s="220">
        <f>IF(D39&lt;J39,D39,J39)*IF($K$27=3,1,0)</f>
        <v>0</v>
      </c>
      <c r="H39" s="222">
        <f t="shared" si="22"/>
        <v>0</v>
      </c>
      <c r="I39" s="222">
        <f t="shared" si="23"/>
        <v>0</v>
      </c>
      <c r="J39" s="222">
        <v>10000</v>
      </c>
      <c r="O39" s="314"/>
      <c r="P39" s="314">
        <f t="shared" si="24"/>
        <v>0</v>
      </c>
      <c r="Q39" s="314">
        <f t="shared" si="25"/>
        <v>0</v>
      </c>
      <c r="R39" s="314">
        <f t="shared" si="26"/>
        <v>0</v>
      </c>
      <c r="S39" s="314">
        <f t="shared" si="27"/>
        <v>0</v>
      </c>
      <c r="T39" s="314">
        <f t="shared" si="28"/>
        <v>0</v>
      </c>
      <c r="U39" s="314">
        <f t="shared" si="29"/>
        <v>0</v>
      </c>
      <c r="V39" s="314">
        <f t="shared" si="30"/>
        <v>0</v>
      </c>
      <c r="W39" s="314">
        <f t="shared" si="31"/>
        <v>0</v>
      </c>
      <c r="X39" s="314">
        <f t="shared" si="32"/>
        <v>0</v>
      </c>
      <c r="Y39" s="314">
        <f t="shared" si="33"/>
        <v>0</v>
      </c>
      <c r="Z39" s="314">
        <f t="shared" si="34"/>
        <v>0</v>
      </c>
      <c r="AD39" s="302">
        <v>0</v>
      </c>
      <c r="AE39" s="302">
        <f t="shared" ref="AE39:AO39" si="49">AD39</f>
        <v>0</v>
      </c>
      <c r="AF39" s="302">
        <f t="shared" si="49"/>
        <v>0</v>
      </c>
      <c r="AG39" s="302">
        <f t="shared" si="49"/>
        <v>0</v>
      </c>
      <c r="AH39" s="302">
        <f t="shared" si="49"/>
        <v>0</v>
      </c>
      <c r="AI39" s="302">
        <f t="shared" si="49"/>
        <v>0</v>
      </c>
      <c r="AJ39" s="302">
        <f t="shared" si="49"/>
        <v>0</v>
      </c>
      <c r="AK39" s="302">
        <f t="shared" si="49"/>
        <v>0</v>
      </c>
      <c r="AL39" s="302">
        <f t="shared" si="49"/>
        <v>0</v>
      </c>
      <c r="AM39" s="302">
        <f t="shared" si="49"/>
        <v>0</v>
      </c>
      <c r="AN39" s="302">
        <f t="shared" si="49"/>
        <v>0</v>
      </c>
      <c r="AO39" s="302">
        <f t="shared" si="49"/>
        <v>0</v>
      </c>
    </row>
    <row r="40" spans="1:41">
      <c r="B40" s="248" t="s">
        <v>269</v>
      </c>
      <c r="C40" s="294" t="s">
        <v>267</v>
      </c>
      <c r="D40" s="293">
        <f>SUM(O40:Z40)</f>
        <v>0</v>
      </c>
      <c r="F40" s="220">
        <f>IF(D40&lt;J40,D40,J40)</f>
        <v>0</v>
      </c>
      <c r="H40" s="222">
        <f t="shared" si="22"/>
        <v>0</v>
      </c>
      <c r="I40" s="222">
        <f t="shared" si="23"/>
        <v>0</v>
      </c>
      <c r="J40" s="222">
        <v>10000</v>
      </c>
      <c r="O40" s="314"/>
      <c r="P40" s="314"/>
      <c r="Q40" s="314"/>
      <c r="R40" s="314">
        <f t="shared" si="26"/>
        <v>0</v>
      </c>
      <c r="S40" s="314">
        <f t="shared" si="27"/>
        <v>0</v>
      </c>
      <c r="T40" s="314">
        <f t="shared" si="28"/>
        <v>0</v>
      </c>
      <c r="U40" s="314">
        <f t="shared" si="29"/>
        <v>0</v>
      </c>
      <c r="V40" s="314">
        <f t="shared" si="30"/>
        <v>0</v>
      </c>
      <c r="W40" s="314">
        <f t="shared" si="31"/>
        <v>0</v>
      </c>
      <c r="X40" s="314">
        <f t="shared" si="32"/>
        <v>0</v>
      </c>
      <c r="Y40" s="314">
        <f t="shared" si="33"/>
        <v>0</v>
      </c>
      <c r="Z40" s="314">
        <f t="shared" si="34"/>
        <v>0</v>
      </c>
      <c r="AD40" s="302">
        <v>0</v>
      </c>
      <c r="AE40" s="302">
        <f t="shared" ref="AE40:AO40" si="50">AD40</f>
        <v>0</v>
      </c>
      <c r="AF40" s="302">
        <f t="shared" si="50"/>
        <v>0</v>
      </c>
      <c r="AG40" s="302">
        <f t="shared" si="50"/>
        <v>0</v>
      </c>
      <c r="AH40" s="302">
        <f t="shared" si="50"/>
        <v>0</v>
      </c>
      <c r="AI40" s="302">
        <f t="shared" si="50"/>
        <v>0</v>
      </c>
      <c r="AJ40" s="302">
        <f t="shared" si="50"/>
        <v>0</v>
      </c>
      <c r="AK40" s="302">
        <f t="shared" si="50"/>
        <v>0</v>
      </c>
      <c r="AL40" s="302">
        <f t="shared" si="50"/>
        <v>0</v>
      </c>
      <c r="AM40" s="302">
        <f t="shared" si="50"/>
        <v>0</v>
      </c>
      <c r="AN40" s="302">
        <f t="shared" si="50"/>
        <v>0</v>
      </c>
      <c r="AO40" s="302">
        <f t="shared" si="50"/>
        <v>0</v>
      </c>
    </row>
    <row r="41" spans="1:41">
      <c r="B41" s="248" t="s">
        <v>270</v>
      </c>
      <c r="C41" s="294" t="s">
        <v>267</v>
      </c>
      <c r="D41" s="293">
        <v>0</v>
      </c>
      <c r="F41" s="220">
        <f>IF(D41&lt;J41,D41,J41)</f>
        <v>0</v>
      </c>
      <c r="H41" s="222">
        <f>+F41</f>
        <v>0</v>
      </c>
      <c r="I41" s="222">
        <f>+F41</f>
        <v>0</v>
      </c>
      <c r="J41" s="222">
        <f>IF((SUM($F$13:$F$22)*15%)&lt;D41,SUM($F$13:$F$22)*15%,D41)</f>
        <v>0</v>
      </c>
      <c r="K41" s="222"/>
      <c r="O41" s="314"/>
      <c r="P41" s="314">
        <f t="shared" si="24"/>
        <v>0</v>
      </c>
      <c r="Q41" s="314">
        <f t="shared" si="25"/>
        <v>0</v>
      </c>
      <c r="R41" s="314">
        <f t="shared" si="26"/>
        <v>0</v>
      </c>
      <c r="S41" s="314">
        <f t="shared" si="27"/>
        <v>0</v>
      </c>
      <c r="T41" s="314">
        <f t="shared" si="28"/>
        <v>0</v>
      </c>
      <c r="U41" s="314">
        <f t="shared" si="29"/>
        <v>0</v>
      </c>
      <c r="V41" s="314">
        <f t="shared" si="30"/>
        <v>0</v>
      </c>
      <c r="W41" s="314">
        <f t="shared" si="31"/>
        <v>0</v>
      </c>
      <c r="X41" s="314">
        <f t="shared" si="32"/>
        <v>0</v>
      </c>
      <c r="Y41" s="314">
        <f t="shared" si="33"/>
        <v>0</v>
      </c>
      <c r="Z41" s="314">
        <f t="shared" si="34"/>
        <v>0</v>
      </c>
      <c r="AD41" s="302">
        <v>0</v>
      </c>
      <c r="AE41" s="302">
        <f t="shared" ref="AE41:AO41" si="51">AD41</f>
        <v>0</v>
      </c>
      <c r="AF41" s="302">
        <f t="shared" si="51"/>
        <v>0</v>
      </c>
      <c r="AG41" s="302">
        <f t="shared" si="51"/>
        <v>0</v>
      </c>
      <c r="AH41" s="302">
        <f t="shared" si="51"/>
        <v>0</v>
      </c>
      <c r="AI41" s="302">
        <f t="shared" si="51"/>
        <v>0</v>
      </c>
      <c r="AJ41" s="302">
        <f t="shared" si="51"/>
        <v>0</v>
      </c>
      <c r="AK41" s="302">
        <f t="shared" si="51"/>
        <v>0</v>
      </c>
      <c r="AL41" s="302">
        <f t="shared" si="51"/>
        <v>0</v>
      </c>
      <c r="AM41" s="302">
        <f t="shared" si="51"/>
        <v>0</v>
      </c>
      <c r="AN41" s="302">
        <f t="shared" si="51"/>
        <v>0</v>
      </c>
      <c r="AO41" s="302">
        <f t="shared" si="51"/>
        <v>0</v>
      </c>
    </row>
    <row r="42" spans="1:41">
      <c r="B42" s="248" t="s">
        <v>271</v>
      </c>
      <c r="C42" s="294" t="s">
        <v>267</v>
      </c>
      <c r="D42" s="293">
        <v>0</v>
      </c>
      <c r="F42" s="220">
        <f>IF(D42&lt;J42,D42,J42)</f>
        <v>0</v>
      </c>
      <c r="H42" s="222">
        <f>+F42</f>
        <v>0</v>
      </c>
      <c r="I42" s="222">
        <f>+F42</f>
        <v>0</v>
      </c>
      <c r="J42" s="222">
        <f>IF((SUM($F$13:$F$22)*15%)&lt;D42,SUM($F$13:$F$22)*15%,D42)</f>
        <v>0</v>
      </c>
      <c r="K42" s="222"/>
      <c r="O42" s="314"/>
      <c r="P42" s="314">
        <f t="shared" si="24"/>
        <v>0</v>
      </c>
      <c r="Q42" s="314">
        <f t="shared" si="25"/>
        <v>0</v>
      </c>
      <c r="R42" s="314">
        <f t="shared" si="26"/>
        <v>0</v>
      </c>
      <c r="S42" s="314">
        <f t="shared" si="27"/>
        <v>0</v>
      </c>
      <c r="T42" s="314">
        <f t="shared" si="28"/>
        <v>0</v>
      </c>
      <c r="U42" s="314">
        <f t="shared" si="29"/>
        <v>0</v>
      </c>
      <c r="V42" s="314">
        <f t="shared" si="30"/>
        <v>0</v>
      </c>
      <c r="W42" s="314">
        <f t="shared" si="31"/>
        <v>0</v>
      </c>
      <c r="X42" s="314">
        <f t="shared" si="32"/>
        <v>0</v>
      </c>
      <c r="Y42" s="314">
        <f t="shared" si="33"/>
        <v>0</v>
      </c>
      <c r="Z42" s="314">
        <f t="shared" si="34"/>
        <v>0</v>
      </c>
      <c r="AD42" s="302">
        <v>0</v>
      </c>
      <c r="AE42" s="302">
        <f t="shared" ref="AE42:AO42" si="52">AD42</f>
        <v>0</v>
      </c>
      <c r="AF42" s="302">
        <f t="shared" si="52"/>
        <v>0</v>
      </c>
      <c r="AG42" s="302">
        <f t="shared" si="52"/>
        <v>0</v>
      </c>
      <c r="AH42" s="302">
        <f t="shared" si="52"/>
        <v>0</v>
      </c>
      <c r="AI42" s="302">
        <f t="shared" si="52"/>
        <v>0</v>
      </c>
      <c r="AJ42" s="302">
        <f t="shared" si="52"/>
        <v>0</v>
      </c>
      <c r="AK42" s="302">
        <f t="shared" si="52"/>
        <v>0</v>
      </c>
      <c r="AL42" s="302">
        <f t="shared" si="52"/>
        <v>0</v>
      </c>
      <c r="AM42" s="302">
        <f t="shared" si="52"/>
        <v>0</v>
      </c>
      <c r="AN42" s="302">
        <f t="shared" si="52"/>
        <v>0</v>
      </c>
      <c r="AO42" s="302">
        <f t="shared" si="52"/>
        <v>0</v>
      </c>
    </row>
    <row r="43" spans="1:41">
      <c r="B43" s="248" t="s">
        <v>272</v>
      </c>
      <c r="C43" s="294" t="s">
        <v>267</v>
      </c>
      <c r="D43" s="293">
        <v>0</v>
      </c>
      <c r="F43" s="220">
        <f>IF(D43&lt;J43,D43,J43)*IF(K27=4,0.5,1)</f>
        <v>0</v>
      </c>
      <c r="H43" s="222">
        <f t="shared" si="22"/>
        <v>0</v>
      </c>
      <c r="I43" s="222">
        <f t="shared" si="23"/>
        <v>0</v>
      </c>
      <c r="J43" s="222">
        <v>100000</v>
      </c>
      <c r="O43" s="314"/>
      <c r="P43" s="314">
        <f t="shared" si="24"/>
        <v>0</v>
      </c>
      <c r="Q43" s="314">
        <f t="shared" si="25"/>
        <v>0</v>
      </c>
      <c r="R43" s="314">
        <f t="shared" si="26"/>
        <v>0</v>
      </c>
      <c r="S43" s="314">
        <f t="shared" si="27"/>
        <v>0</v>
      </c>
      <c r="T43" s="314">
        <f t="shared" si="28"/>
        <v>0</v>
      </c>
      <c r="U43" s="314">
        <f t="shared" si="29"/>
        <v>0</v>
      </c>
      <c r="V43" s="314">
        <f t="shared" si="30"/>
        <v>0</v>
      </c>
      <c r="W43" s="314">
        <f t="shared" si="31"/>
        <v>0</v>
      </c>
      <c r="X43" s="314">
        <f t="shared" si="32"/>
        <v>0</v>
      </c>
      <c r="Y43" s="314">
        <f t="shared" si="33"/>
        <v>0</v>
      </c>
      <c r="Z43" s="314">
        <f t="shared" si="34"/>
        <v>0</v>
      </c>
      <c r="AD43" s="302">
        <v>0</v>
      </c>
      <c r="AE43" s="302">
        <f t="shared" ref="AE43:AO43" si="53">AD43</f>
        <v>0</v>
      </c>
      <c r="AF43" s="302">
        <f t="shared" si="53"/>
        <v>0</v>
      </c>
      <c r="AG43" s="302">
        <f t="shared" si="53"/>
        <v>0</v>
      </c>
      <c r="AH43" s="302">
        <f t="shared" si="53"/>
        <v>0</v>
      </c>
      <c r="AI43" s="302">
        <f t="shared" si="53"/>
        <v>0</v>
      </c>
      <c r="AJ43" s="302">
        <f t="shared" si="53"/>
        <v>0</v>
      </c>
      <c r="AK43" s="302">
        <f t="shared" si="53"/>
        <v>0</v>
      </c>
      <c r="AL43" s="302">
        <f t="shared" si="53"/>
        <v>0</v>
      </c>
      <c r="AM43" s="302">
        <f t="shared" si="53"/>
        <v>0</v>
      </c>
      <c r="AN43" s="302">
        <f t="shared" si="53"/>
        <v>0</v>
      </c>
      <c r="AO43" s="302">
        <f t="shared" si="53"/>
        <v>0</v>
      </c>
    </row>
    <row r="44" spans="1:41">
      <c r="B44" s="248" t="s">
        <v>273</v>
      </c>
      <c r="C44" s="294" t="s">
        <v>267</v>
      </c>
      <c r="D44" s="293">
        <f>SUM(O44:Z44)</f>
        <v>6900</v>
      </c>
      <c r="E44" s="216"/>
      <c r="F44" s="220">
        <f>+D44</f>
        <v>6900</v>
      </c>
      <c r="H44" s="222">
        <f t="shared" si="22"/>
        <v>6900</v>
      </c>
      <c r="I44" s="222">
        <f t="shared" si="23"/>
        <v>6900</v>
      </c>
      <c r="K44" s="247"/>
      <c r="O44" s="314">
        <v>450</v>
      </c>
      <c r="P44" s="314">
        <v>450</v>
      </c>
      <c r="Q44" s="314">
        <v>600</v>
      </c>
      <c r="R44" s="314">
        <f t="shared" si="26"/>
        <v>600</v>
      </c>
      <c r="S44" s="314">
        <f t="shared" si="27"/>
        <v>600</v>
      </c>
      <c r="T44" s="314">
        <f t="shared" si="28"/>
        <v>600</v>
      </c>
      <c r="U44" s="314">
        <f t="shared" si="29"/>
        <v>600</v>
      </c>
      <c r="V44" s="314">
        <f t="shared" si="30"/>
        <v>600</v>
      </c>
      <c r="W44" s="314">
        <f t="shared" si="31"/>
        <v>600</v>
      </c>
      <c r="X44" s="314">
        <f t="shared" si="32"/>
        <v>600</v>
      </c>
      <c r="Y44" s="314">
        <f t="shared" si="33"/>
        <v>600</v>
      </c>
      <c r="Z44" s="314">
        <f t="shared" si="34"/>
        <v>600</v>
      </c>
      <c r="AD44" s="302">
        <v>0</v>
      </c>
      <c r="AE44" s="302">
        <f t="shared" ref="AE44:AO44" si="54">AD44</f>
        <v>0</v>
      </c>
      <c r="AF44" s="302">
        <f t="shared" si="54"/>
        <v>0</v>
      </c>
      <c r="AG44" s="302">
        <f t="shared" si="54"/>
        <v>0</v>
      </c>
      <c r="AH44" s="302">
        <f t="shared" si="54"/>
        <v>0</v>
      </c>
      <c r="AI44" s="302">
        <f t="shared" si="54"/>
        <v>0</v>
      </c>
      <c r="AJ44" s="302">
        <f t="shared" si="54"/>
        <v>0</v>
      </c>
      <c r="AK44" s="302">
        <f t="shared" si="54"/>
        <v>0</v>
      </c>
      <c r="AL44" s="302">
        <f t="shared" si="54"/>
        <v>0</v>
      </c>
      <c r="AM44" s="302">
        <f t="shared" si="54"/>
        <v>0</v>
      </c>
      <c r="AN44" s="302">
        <f t="shared" si="54"/>
        <v>0</v>
      </c>
      <c r="AO44" s="302">
        <f t="shared" si="54"/>
        <v>0</v>
      </c>
    </row>
    <row r="45" spans="1:41">
      <c r="A45" s="243" t="s">
        <v>274</v>
      </c>
      <c r="C45" s="294"/>
      <c r="D45" s="312"/>
      <c r="F45" s="245">
        <f>SUM(F25:F44)</f>
        <v>96900</v>
      </c>
      <c r="H45" s="246">
        <f>SUM(H25:H44)</f>
        <v>96900</v>
      </c>
      <c r="I45" s="246">
        <f>SUM(I25:I44)</f>
        <v>96900</v>
      </c>
      <c r="O45" s="312"/>
      <c r="P45" s="312"/>
      <c r="Q45" s="312"/>
      <c r="R45" s="312"/>
      <c r="S45" s="312"/>
      <c r="T45" s="312"/>
      <c r="U45" s="312"/>
      <c r="V45" s="312"/>
      <c r="W45" s="312"/>
      <c r="X45" s="312"/>
      <c r="Y45" s="312"/>
      <c r="Z45" s="312"/>
    </row>
    <row r="46" spans="1:41">
      <c r="A46" s="218" t="s">
        <v>275</v>
      </c>
      <c r="C46" s="294"/>
      <c r="D46" s="312"/>
      <c r="F46" s="220">
        <f>+F24-F45</f>
        <v>537100</v>
      </c>
      <c r="H46" s="222">
        <f>+H24-H45</f>
        <v>519100</v>
      </c>
      <c r="I46" s="222">
        <f>+I24-I45</f>
        <v>537100</v>
      </c>
      <c r="O46" s="312"/>
      <c r="P46" s="312"/>
      <c r="Q46" s="312"/>
      <c r="R46" s="312"/>
      <c r="S46" s="312"/>
      <c r="T46" s="312"/>
      <c r="U46" s="312"/>
      <c r="V46" s="312"/>
      <c r="W46" s="312"/>
      <c r="X46" s="312"/>
      <c r="Y46" s="312"/>
      <c r="Z46" s="312"/>
    </row>
    <row r="47" spans="1:41">
      <c r="A47" s="218" t="s">
        <v>254</v>
      </c>
      <c r="B47" s="248" t="s">
        <v>276</v>
      </c>
      <c r="C47" s="294" t="s">
        <v>267</v>
      </c>
      <c r="D47" s="293">
        <v>0</v>
      </c>
      <c r="F47" s="220">
        <f>IF(D47&lt;J47,D47,J47)</f>
        <v>0</v>
      </c>
      <c r="H47" s="222">
        <f>+F47</f>
        <v>0</v>
      </c>
      <c r="I47" s="222">
        <f>+F47</f>
        <v>0</v>
      </c>
      <c r="J47" s="222">
        <f>+F46*10%*IF(F46&lt;0,0,1)</f>
        <v>53710</v>
      </c>
      <c r="O47" s="314"/>
      <c r="P47" s="314">
        <f t="shared" ref="P47:Z47" si="55">O47</f>
        <v>0</v>
      </c>
      <c r="Q47" s="314">
        <f t="shared" si="55"/>
        <v>0</v>
      </c>
      <c r="R47" s="314">
        <f t="shared" si="55"/>
        <v>0</v>
      </c>
      <c r="S47" s="314">
        <f t="shared" si="55"/>
        <v>0</v>
      </c>
      <c r="T47" s="314">
        <f t="shared" si="55"/>
        <v>0</v>
      </c>
      <c r="U47" s="314">
        <f t="shared" si="55"/>
        <v>0</v>
      </c>
      <c r="V47" s="314">
        <f t="shared" si="55"/>
        <v>0</v>
      </c>
      <c r="W47" s="314">
        <f t="shared" si="55"/>
        <v>0</v>
      </c>
      <c r="X47" s="314">
        <f t="shared" si="55"/>
        <v>0</v>
      </c>
      <c r="Y47" s="314">
        <f t="shared" si="55"/>
        <v>0</v>
      </c>
      <c r="Z47" s="314">
        <f t="shared" si="55"/>
        <v>0</v>
      </c>
      <c r="AD47" s="302">
        <v>0</v>
      </c>
      <c r="AE47" s="302">
        <f t="shared" ref="AE47:AO47" si="56">AD47</f>
        <v>0</v>
      </c>
      <c r="AF47" s="302">
        <f t="shared" si="56"/>
        <v>0</v>
      </c>
      <c r="AG47" s="302">
        <f t="shared" si="56"/>
        <v>0</v>
      </c>
      <c r="AH47" s="302">
        <f t="shared" si="56"/>
        <v>0</v>
      </c>
      <c r="AI47" s="302">
        <f t="shared" si="56"/>
        <v>0</v>
      </c>
      <c r="AJ47" s="302">
        <f t="shared" si="56"/>
        <v>0</v>
      </c>
      <c r="AK47" s="302">
        <f t="shared" si="56"/>
        <v>0</v>
      </c>
      <c r="AL47" s="302">
        <f t="shared" si="56"/>
        <v>0</v>
      </c>
      <c r="AM47" s="302">
        <f t="shared" si="56"/>
        <v>0</v>
      </c>
      <c r="AN47" s="302">
        <f t="shared" si="56"/>
        <v>0</v>
      </c>
      <c r="AO47" s="302">
        <f t="shared" si="56"/>
        <v>0</v>
      </c>
    </row>
    <row r="48" spans="1:41" ht="22.5" thickBot="1">
      <c r="A48" s="253" t="s">
        <v>277</v>
      </c>
      <c r="B48" s="240"/>
      <c r="C48" s="295"/>
      <c r="D48" s="241"/>
      <c r="E48" s="254"/>
      <c r="F48" s="255">
        <f>+F46-F47</f>
        <v>537100</v>
      </c>
      <c r="G48" s="256"/>
      <c r="H48" s="257">
        <f>+H46-H47</f>
        <v>519100</v>
      </c>
      <c r="I48" s="257">
        <f>+I46-I47</f>
        <v>537100</v>
      </c>
      <c r="O48" s="314"/>
      <c r="P48" s="314"/>
      <c r="Q48" s="314"/>
      <c r="R48" s="314"/>
      <c r="S48" s="314"/>
      <c r="T48" s="314"/>
      <c r="U48" s="314"/>
      <c r="V48" s="314"/>
      <c r="W48" s="314"/>
      <c r="X48" s="314"/>
      <c r="Y48" s="314"/>
      <c r="Z48" s="314"/>
      <c r="AD48" s="302"/>
      <c r="AE48" s="302"/>
      <c r="AF48" s="302"/>
      <c r="AG48" s="302"/>
      <c r="AH48" s="302"/>
      <c r="AI48" s="302"/>
      <c r="AJ48" s="302"/>
      <c r="AK48" s="302"/>
      <c r="AL48" s="302"/>
      <c r="AM48" s="302"/>
      <c r="AN48" s="302"/>
      <c r="AO48" s="302"/>
    </row>
    <row r="49" spans="1:41">
      <c r="A49" s="253" t="s">
        <v>278</v>
      </c>
      <c r="B49" s="240"/>
      <c r="C49" s="295"/>
      <c r="D49" s="241"/>
      <c r="E49" s="254"/>
      <c r="F49" s="256">
        <f>+F66</f>
        <v>33065</v>
      </c>
      <c r="G49" s="256"/>
      <c r="H49" s="258">
        <f>F91</f>
        <v>30365</v>
      </c>
      <c r="I49" s="258">
        <f>F102</f>
        <v>33065</v>
      </c>
      <c r="O49" s="315"/>
      <c r="P49" s="315"/>
      <c r="Q49" s="315"/>
      <c r="R49" s="315"/>
      <c r="S49" s="315"/>
      <c r="T49" s="315"/>
      <c r="U49" s="315"/>
      <c r="V49" s="315"/>
      <c r="W49" s="315"/>
      <c r="X49" s="315"/>
      <c r="Y49" s="315"/>
      <c r="Z49" s="315"/>
      <c r="AD49" s="304"/>
      <c r="AE49" s="304"/>
      <c r="AF49" s="304"/>
      <c r="AG49" s="304"/>
      <c r="AH49" s="304"/>
      <c r="AI49" s="304"/>
      <c r="AJ49" s="304"/>
      <c r="AK49" s="304"/>
      <c r="AL49" s="304"/>
      <c r="AM49" s="304"/>
      <c r="AN49" s="304"/>
      <c r="AO49" s="304"/>
    </row>
    <row r="50" spans="1:41" ht="22.5" thickBot="1">
      <c r="A50" s="259" t="s">
        <v>254</v>
      </c>
      <c r="B50" s="230" t="s">
        <v>279</v>
      </c>
      <c r="C50" s="317">
        <f>C55</f>
        <v>3510</v>
      </c>
      <c r="D50" s="241"/>
      <c r="F50" s="220">
        <f>-C50</f>
        <v>-3510</v>
      </c>
      <c r="H50" s="260"/>
      <c r="I50" s="261"/>
      <c r="K50" s="262">
        <f>13-C109</f>
        <v>12</v>
      </c>
      <c r="O50" s="296">
        <f t="shared" ref="O50:Z50" si="57">O55+N50</f>
        <v>1755</v>
      </c>
      <c r="P50" s="296">
        <f t="shared" si="57"/>
        <v>3510</v>
      </c>
      <c r="Q50" s="296">
        <f t="shared" si="57"/>
        <v>3547</v>
      </c>
      <c r="R50" s="296">
        <f t="shared" si="57"/>
        <v>3547</v>
      </c>
      <c r="S50" s="296">
        <f t="shared" si="57"/>
        <v>3547</v>
      </c>
      <c r="T50" s="296">
        <f t="shared" si="57"/>
        <v>3547</v>
      </c>
      <c r="U50" s="296">
        <f t="shared" si="57"/>
        <v>3547</v>
      </c>
      <c r="V50" s="296">
        <f t="shared" si="57"/>
        <v>3547</v>
      </c>
      <c r="W50" s="296">
        <f t="shared" si="57"/>
        <v>3547</v>
      </c>
      <c r="X50" s="296">
        <f t="shared" si="57"/>
        <v>3547</v>
      </c>
      <c r="Y50" s="296">
        <f t="shared" si="57"/>
        <v>3547</v>
      </c>
      <c r="Z50" s="296">
        <f t="shared" si="57"/>
        <v>3547</v>
      </c>
      <c r="AD50" s="305">
        <f t="shared" ref="AD50:AO50" si="58">AD55+AC50</f>
        <v>0</v>
      </c>
      <c r="AE50" s="305">
        <f t="shared" si="58"/>
        <v>0</v>
      </c>
      <c r="AF50" s="305">
        <f t="shared" si="58"/>
        <v>0</v>
      </c>
      <c r="AG50" s="305">
        <f t="shared" si="58"/>
        <v>0</v>
      </c>
      <c r="AH50" s="305">
        <f t="shared" si="58"/>
        <v>0</v>
      </c>
      <c r="AI50" s="305">
        <f t="shared" si="58"/>
        <v>0</v>
      </c>
      <c r="AJ50" s="305">
        <f t="shared" si="58"/>
        <v>0</v>
      </c>
      <c r="AK50" s="305">
        <f t="shared" si="58"/>
        <v>0</v>
      </c>
      <c r="AL50" s="305">
        <f t="shared" si="58"/>
        <v>0</v>
      </c>
      <c r="AM50" s="305">
        <f t="shared" si="58"/>
        <v>0</v>
      </c>
      <c r="AN50" s="305">
        <f t="shared" si="58"/>
        <v>0</v>
      </c>
      <c r="AO50" s="305">
        <f t="shared" si="58"/>
        <v>0</v>
      </c>
    </row>
    <row r="51" spans="1:41" ht="22.5" thickBot="1">
      <c r="A51" s="263" t="str">
        <f>IF(F51&gt;0,"ภาษีเงินได้ชำระเพิ่มเติม","ภาษีเงินได้ชำระไว้เกิน")</f>
        <v>ภาษีเงินได้ชำระเพิ่มเติม</v>
      </c>
      <c r="B51" s="240"/>
      <c r="C51" s="312"/>
      <c r="D51" s="241"/>
      <c r="F51" s="264">
        <f>+F49+F50</f>
        <v>29555</v>
      </c>
      <c r="O51" s="316"/>
      <c r="P51" s="316"/>
      <c r="Q51" s="316"/>
      <c r="R51" s="316"/>
      <c r="S51" s="316"/>
      <c r="T51" s="316"/>
      <c r="U51" s="316"/>
      <c r="V51" s="316"/>
      <c r="W51" s="316"/>
      <c r="X51" s="316"/>
      <c r="Y51" s="316"/>
      <c r="Z51" s="316"/>
      <c r="AD51" s="306"/>
      <c r="AE51" s="306"/>
      <c r="AF51" s="306"/>
      <c r="AG51" s="306"/>
      <c r="AH51" s="306"/>
      <c r="AI51" s="306"/>
      <c r="AJ51" s="306"/>
      <c r="AK51" s="306"/>
      <c r="AL51" s="306"/>
      <c r="AM51" s="306"/>
      <c r="AN51" s="306"/>
      <c r="AO51" s="306"/>
    </row>
    <row r="52" spans="1:41" ht="12" customHeight="1">
      <c r="A52" s="263"/>
      <c r="B52" s="240"/>
      <c r="C52" s="312"/>
      <c r="D52" s="241"/>
      <c r="F52" s="221"/>
      <c r="I52" s="265"/>
      <c r="O52" s="314"/>
      <c r="P52" s="314"/>
      <c r="Q52" s="314"/>
      <c r="R52" s="314"/>
      <c r="S52" s="314"/>
      <c r="T52" s="314"/>
      <c r="U52" s="314"/>
      <c r="V52" s="314"/>
      <c r="W52" s="314"/>
      <c r="X52" s="314"/>
      <c r="Y52" s="314"/>
      <c r="Z52" s="314"/>
      <c r="AD52" s="302"/>
      <c r="AE52" s="302"/>
      <c r="AF52" s="302"/>
      <c r="AG52" s="302"/>
      <c r="AH52" s="302"/>
      <c r="AI52" s="302"/>
      <c r="AJ52" s="302"/>
      <c r="AK52" s="302"/>
      <c r="AL52" s="302"/>
      <c r="AM52" s="302"/>
      <c r="AN52" s="302"/>
      <c r="AO52" s="302"/>
    </row>
    <row r="53" spans="1:41">
      <c r="A53" s="263" t="s">
        <v>280</v>
      </c>
      <c r="B53" s="240"/>
      <c r="C53" s="293">
        <v>3510</v>
      </c>
      <c r="D53" s="241"/>
      <c r="F53" s="221">
        <f>H53</f>
        <v>2238</v>
      </c>
      <c r="H53" s="222">
        <f>IF(F51&lt;=0,0,ROUND((H49-C53)/K50,0))</f>
        <v>2238</v>
      </c>
      <c r="I53" s="265"/>
      <c r="O53" s="314">
        <v>1755</v>
      </c>
      <c r="P53" s="314">
        <v>1755</v>
      </c>
      <c r="Q53" s="314">
        <v>37</v>
      </c>
      <c r="R53" s="314">
        <v>0</v>
      </c>
      <c r="S53" s="314">
        <v>0</v>
      </c>
      <c r="T53" s="314">
        <v>0</v>
      </c>
      <c r="U53" s="314">
        <v>0</v>
      </c>
      <c r="V53" s="314">
        <v>0</v>
      </c>
      <c r="W53" s="314">
        <v>0</v>
      </c>
      <c r="X53" s="314">
        <v>0</v>
      </c>
      <c r="Y53" s="314">
        <v>0</v>
      </c>
      <c r="Z53" s="314">
        <v>0</v>
      </c>
      <c r="AD53" s="302">
        <v>0</v>
      </c>
      <c r="AE53" s="302">
        <v>0</v>
      </c>
      <c r="AF53" s="302">
        <v>0</v>
      </c>
      <c r="AG53" s="302">
        <v>0</v>
      </c>
      <c r="AH53" s="302">
        <v>0</v>
      </c>
      <c r="AI53" s="302">
        <v>0</v>
      </c>
      <c r="AJ53" s="302">
        <v>0</v>
      </c>
      <c r="AK53" s="302">
        <v>0</v>
      </c>
      <c r="AL53" s="302">
        <v>0</v>
      </c>
      <c r="AM53" s="302">
        <v>0</v>
      </c>
      <c r="AN53" s="302">
        <v>0</v>
      </c>
      <c r="AO53" s="302">
        <v>0</v>
      </c>
    </row>
    <row r="54" spans="1:41">
      <c r="A54" s="263" t="s">
        <v>310</v>
      </c>
      <c r="B54" s="240"/>
      <c r="C54" s="293">
        <v>0</v>
      </c>
      <c r="D54" s="241"/>
      <c r="F54" s="221">
        <f>I54</f>
        <v>2700</v>
      </c>
      <c r="I54" s="265">
        <f>IF(F51&lt;=0,0,ROUND(I49-H49-C54,0))</f>
        <v>2700</v>
      </c>
      <c r="O54" s="314">
        <v>0</v>
      </c>
      <c r="P54" s="314">
        <v>0</v>
      </c>
      <c r="Q54" s="314">
        <v>0</v>
      </c>
      <c r="R54" s="314">
        <v>0</v>
      </c>
      <c r="S54" s="314">
        <v>0</v>
      </c>
      <c r="T54" s="314">
        <v>0</v>
      </c>
      <c r="U54" s="314">
        <v>0</v>
      </c>
      <c r="V54" s="314">
        <v>0</v>
      </c>
      <c r="W54" s="314">
        <v>0</v>
      </c>
      <c r="X54" s="314">
        <v>0</v>
      </c>
      <c r="Y54" s="314">
        <v>0</v>
      </c>
      <c r="Z54" s="314">
        <v>0</v>
      </c>
      <c r="AD54" s="302">
        <v>0</v>
      </c>
      <c r="AE54" s="302">
        <v>0</v>
      </c>
      <c r="AF54" s="302">
        <v>0</v>
      </c>
      <c r="AG54" s="302">
        <v>0</v>
      </c>
      <c r="AH54" s="302">
        <v>0</v>
      </c>
      <c r="AI54" s="302">
        <v>0</v>
      </c>
      <c r="AJ54" s="302">
        <v>0</v>
      </c>
      <c r="AK54" s="302">
        <v>0</v>
      </c>
      <c r="AL54" s="302">
        <v>0</v>
      </c>
      <c r="AM54" s="302">
        <v>0</v>
      </c>
      <c r="AN54" s="302">
        <v>0</v>
      </c>
      <c r="AO54" s="302">
        <v>0</v>
      </c>
    </row>
    <row r="55" spans="1:41" ht="22.5" thickBot="1">
      <c r="A55" s="263" t="s">
        <v>281</v>
      </c>
      <c r="B55" s="240"/>
      <c r="C55" s="318">
        <f>SUM(C53:C54)</f>
        <v>3510</v>
      </c>
      <c r="D55" s="241"/>
      <c r="E55" s="266"/>
      <c r="F55" s="267">
        <f>SUM(F53:F54)</f>
        <v>4938</v>
      </c>
      <c r="I55" s="265"/>
      <c r="O55" s="296">
        <f t="shared" ref="O55:Z55" si="59">SUM(O53:O54)</f>
        <v>1755</v>
      </c>
      <c r="P55" s="296">
        <f t="shared" si="59"/>
        <v>1755</v>
      </c>
      <c r="Q55" s="296">
        <f t="shared" si="59"/>
        <v>37</v>
      </c>
      <c r="R55" s="296">
        <f t="shared" si="59"/>
        <v>0</v>
      </c>
      <c r="S55" s="296">
        <f t="shared" si="59"/>
        <v>0</v>
      </c>
      <c r="T55" s="296">
        <f t="shared" si="59"/>
        <v>0</v>
      </c>
      <c r="U55" s="296">
        <f t="shared" si="59"/>
        <v>0</v>
      </c>
      <c r="V55" s="296">
        <f t="shared" si="59"/>
        <v>0</v>
      </c>
      <c r="W55" s="296">
        <f t="shared" si="59"/>
        <v>0</v>
      </c>
      <c r="X55" s="296">
        <f t="shared" si="59"/>
        <v>0</v>
      </c>
      <c r="Y55" s="296">
        <f t="shared" si="59"/>
        <v>0</v>
      </c>
      <c r="Z55" s="296">
        <f t="shared" si="59"/>
        <v>0</v>
      </c>
      <c r="AD55" s="305">
        <f t="shared" ref="AD55:AO55" si="60">SUM(AD53:AD54)</f>
        <v>0</v>
      </c>
      <c r="AE55" s="305">
        <f t="shared" si="60"/>
        <v>0</v>
      </c>
      <c r="AF55" s="305">
        <f t="shared" si="60"/>
        <v>0</v>
      </c>
      <c r="AG55" s="305">
        <f t="shared" si="60"/>
        <v>0</v>
      </c>
      <c r="AH55" s="305">
        <f t="shared" si="60"/>
        <v>0</v>
      </c>
      <c r="AI55" s="305">
        <f t="shared" si="60"/>
        <v>0</v>
      </c>
      <c r="AJ55" s="305">
        <f t="shared" si="60"/>
        <v>0</v>
      </c>
      <c r="AK55" s="305">
        <f t="shared" si="60"/>
        <v>0</v>
      </c>
      <c r="AL55" s="305">
        <f t="shared" si="60"/>
        <v>0</v>
      </c>
      <c r="AM55" s="305">
        <f t="shared" si="60"/>
        <v>0</v>
      </c>
      <c r="AN55" s="305">
        <f t="shared" si="60"/>
        <v>0</v>
      </c>
      <c r="AO55" s="305">
        <f t="shared" si="60"/>
        <v>0</v>
      </c>
    </row>
    <row r="56" spans="1:41">
      <c r="A56" s="268"/>
      <c r="B56" s="240"/>
      <c r="C56" s="240"/>
      <c r="D56" s="259"/>
      <c r="E56" s="266"/>
      <c r="F56" s="269"/>
      <c r="H56" s="265"/>
      <c r="I56" s="265"/>
    </row>
    <row r="57" spans="1:41">
      <c r="A57" s="270"/>
      <c r="B57" s="271" t="s">
        <v>282</v>
      </c>
      <c r="C57" s="272"/>
      <c r="D57" s="273" t="s">
        <v>283</v>
      </c>
      <c r="E57" s="274" t="s">
        <v>284</v>
      </c>
      <c r="F57" s="274" t="s">
        <v>53</v>
      </c>
      <c r="H57" s="265"/>
      <c r="I57" s="265"/>
    </row>
    <row r="58" spans="1:41">
      <c r="B58" s="275" t="s">
        <v>538</v>
      </c>
      <c r="D58" s="217">
        <f>IF(D66&gt;H58,H58,D66)</f>
        <v>150000</v>
      </c>
      <c r="E58" s="276">
        <v>0</v>
      </c>
      <c r="F58" s="217">
        <f>+D58*E58</f>
        <v>0</v>
      </c>
      <c r="G58" s="227"/>
      <c r="H58" s="228">
        <v>150000</v>
      </c>
      <c r="I58" s="228">
        <v>0</v>
      </c>
    </row>
    <row r="59" spans="1:41">
      <c r="B59" s="275" t="s">
        <v>539</v>
      </c>
      <c r="D59" s="217">
        <f>IF(D66&gt;H59,I59,D66-SUM(D57:D58))</f>
        <v>150000</v>
      </c>
      <c r="E59" s="276">
        <v>0.05</v>
      </c>
      <c r="F59" s="217">
        <f>+D59*E59</f>
        <v>7500</v>
      </c>
      <c r="G59" s="227"/>
      <c r="H59" s="228">
        <v>300000</v>
      </c>
      <c r="I59" s="228">
        <f>+H59-H58</f>
        <v>150000</v>
      </c>
    </row>
    <row r="60" spans="1:41">
      <c r="B60" s="275" t="s">
        <v>540</v>
      </c>
      <c r="D60" s="217">
        <f>IF(D66&gt;H60,I60,D66-SUM(D57:D59))</f>
        <v>200000</v>
      </c>
      <c r="E60" s="276">
        <v>0.1</v>
      </c>
      <c r="F60" s="217">
        <f t="shared" ref="F60:F65" si="61">+D60*E60</f>
        <v>20000</v>
      </c>
      <c r="G60" s="227"/>
      <c r="H60" s="228">
        <v>500000</v>
      </c>
      <c r="I60" s="228">
        <f t="shared" ref="I60:I65" si="62">+H60-H59</f>
        <v>200000</v>
      </c>
    </row>
    <row r="61" spans="1:41">
      <c r="B61" s="275" t="s">
        <v>541</v>
      </c>
      <c r="C61" s="216"/>
      <c r="D61" s="217">
        <f>IF(D66&gt;H61,I61,D66-SUM(D57:D60))</f>
        <v>37100</v>
      </c>
      <c r="E61" s="276">
        <v>0.15</v>
      </c>
      <c r="F61" s="218">
        <f t="shared" si="61"/>
        <v>5565</v>
      </c>
      <c r="G61" s="216"/>
      <c r="H61" s="217">
        <v>750000</v>
      </c>
      <c r="I61" s="217">
        <f t="shared" si="62"/>
        <v>250000</v>
      </c>
    </row>
    <row r="62" spans="1:41">
      <c r="B62" s="275" t="s">
        <v>542</v>
      </c>
      <c r="C62" s="216"/>
      <c r="D62" s="217">
        <f>IF(D66&gt;H62,I62,D66-SUM(D57:D61))</f>
        <v>0</v>
      </c>
      <c r="E62" s="276">
        <v>0.2</v>
      </c>
      <c r="F62" s="218">
        <f t="shared" si="61"/>
        <v>0</v>
      </c>
      <c r="G62" s="216"/>
      <c r="H62" s="217">
        <v>1000000</v>
      </c>
      <c r="I62" s="217">
        <f t="shared" si="62"/>
        <v>250000</v>
      </c>
    </row>
    <row r="63" spans="1:41" s="251" customFormat="1">
      <c r="A63" s="216"/>
      <c r="B63" s="275" t="s">
        <v>543</v>
      </c>
      <c r="C63" s="216"/>
      <c r="D63" s="217">
        <f>IF(D66&gt;H63,I63,D66-SUM(D57:D62))</f>
        <v>0</v>
      </c>
      <c r="E63" s="276">
        <v>0.25</v>
      </c>
      <c r="F63" s="218">
        <f t="shared" si="61"/>
        <v>0</v>
      </c>
      <c r="G63" s="216"/>
      <c r="H63" s="217">
        <v>2000000</v>
      </c>
      <c r="I63" s="217">
        <f t="shared" si="62"/>
        <v>1000000</v>
      </c>
      <c r="J63" s="222"/>
      <c r="K63" s="277"/>
      <c r="O63" s="294"/>
      <c r="P63" s="294"/>
      <c r="Q63" s="294"/>
      <c r="R63" s="294"/>
      <c r="S63" s="294"/>
      <c r="T63" s="294"/>
      <c r="U63" s="294"/>
      <c r="V63" s="294"/>
      <c r="W63" s="294"/>
      <c r="X63" s="294"/>
      <c r="Y63" s="294"/>
      <c r="Z63" s="294"/>
      <c r="AA63" s="294"/>
      <c r="AB63" s="294"/>
      <c r="AC63" s="294"/>
      <c r="AD63" s="294"/>
      <c r="AE63" s="294"/>
      <c r="AF63" s="294"/>
      <c r="AG63" s="294"/>
      <c r="AH63" s="294"/>
      <c r="AI63" s="294"/>
      <c r="AJ63" s="294"/>
      <c r="AK63" s="294"/>
      <c r="AL63" s="294"/>
      <c r="AM63" s="294"/>
      <c r="AN63" s="294"/>
      <c r="AO63" s="294"/>
    </row>
    <row r="64" spans="1:41" s="251" customFormat="1">
      <c r="A64" s="278"/>
      <c r="B64" s="275" t="s">
        <v>544</v>
      </c>
      <c r="C64" s="216"/>
      <c r="D64" s="217">
        <f>IF(D66&gt;H64,I64,D66-SUM(D57:D63))</f>
        <v>0</v>
      </c>
      <c r="E64" s="276">
        <v>0.3</v>
      </c>
      <c r="F64" s="218">
        <f t="shared" si="61"/>
        <v>0</v>
      </c>
      <c r="G64" s="216"/>
      <c r="H64" s="217">
        <v>4000000</v>
      </c>
      <c r="I64" s="217">
        <f t="shared" si="62"/>
        <v>2000000</v>
      </c>
      <c r="J64" s="222"/>
      <c r="K64" s="277"/>
      <c r="O64" s="294"/>
      <c r="P64" s="294"/>
      <c r="Q64" s="294"/>
      <c r="R64" s="294"/>
      <c r="S64" s="294"/>
      <c r="T64" s="294"/>
      <c r="U64" s="294"/>
      <c r="V64" s="294"/>
      <c r="W64" s="294"/>
      <c r="X64" s="294"/>
      <c r="Y64" s="294"/>
      <c r="Z64" s="294"/>
      <c r="AA64" s="294"/>
      <c r="AB64" s="294"/>
      <c r="AC64" s="294"/>
      <c r="AD64" s="294"/>
      <c r="AE64" s="294"/>
      <c r="AF64" s="294"/>
      <c r="AG64" s="294"/>
      <c r="AH64" s="294"/>
      <c r="AI64" s="294"/>
      <c r="AJ64" s="294"/>
      <c r="AK64" s="294"/>
      <c r="AL64" s="294"/>
      <c r="AM64" s="294"/>
      <c r="AN64" s="294"/>
      <c r="AO64" s="294"/>
    </row>
    <row r="65" spans="2:11">
      <c r="B65" s="275" t="s">
        <v>285</v>
      </c>
      <c r="C65" s="216"/>
      <c r="D65" s="217">
        <f>IF(D66&gt;H65,I65,D66-SUM(D57:D64))</f>
        <v>0</v>
      </c>
      <c r="E65" s="276">
        <v>0.35</v>
      </c>
      <c r="F65" s="218">
        <f t="shared" si="61"/>
        <v>0</v>
      </c>
      <c r="G65" s="216"/>
      <c r="H65" s="217">
        <v>99999999</v>
      </c>
      <c r="I65" s="217">
        <f t="shared" si="62"/>
        <v>95999999</v>
      </c>
      <c r="K65" s="277"/>
    </row>
    <row r="66" spans="2:11" ht="22.5" thickBot="1">
      <c r="B66" s="279" t="s">
        <v>286</v>
      </c>
      <c r="C66" s="280"/>
      <c r="D66" s="281">
        <f>IF(F48&lt;0,0,F48)</f>
        <v>537100</v>
      </c>
      <c r="E66" s="279"/>
      <c r="F66" s="281">
        <f>SUM(F58:F65)</f>
        <v>33065</v>
      </c>
      <c r="G66" s="216"/>
      <c r="H66" s="228"/>
      <c r="I66" s="228"/>
      <c r="K66" s="277"/>
    </row>
    <row r="67" spans="2:11">
      <c r="E67" s="217"/>
      <c r="F67" s="217"/>
      <c r="G67" s="227"/>
      <c r="H67" s="228"/>
      <c r="I67" s="228"/>
    </row>
    <row r="68" spans="2:11">
      <c r="E68" s="217"/>
      <c r="F68" s="217"/>
      <c r="G68" s="227"/>
      <c r="H68" s="228"/>
      <c r="I68" s="228"/>
    </row>
    <row r="69" spans="2:11">
      <c r="E69" s="217"/>
      <c r="F69" s="217"/>
      <c r="G69" s="227"/>
      <c r="H69" s="228"/>
      <c r="I69" s="228"/>
    </row>
    <row r="70" spans="2:11">
      <c r="E70" s="217"/>
      <c r="F70" s="217"/>
      <c r="G70" s="227"/>
      <c r="H70" s="228"/>
      <c r="I70" s="228"/>
    </row>
    <row r="71" spans="2:11">
      <c r="E71" s="217"/>
      <c r="F71" s="217"/>
      <c r="G71" s="227"/>
      <c r="H71" s="228"/>
      <c r="I71" s="228"/>
    </row>
    <row r="72" spans="2:11">
      <c r="E72" s="217"/>
      <c r="F72" s="217"/>
      <c r="G72" s="227"/>
      <c r="H72" s="228"/>
      <c r="I72" s="228"/>
    </row>
    <row r="73" spans="2:11">
      <c r="E73" s="217"/>
      <c r="F73" s="217"/>
      <c r="G73" s="227"/>
      <c r="H73" s="228"/>
      <c r="I73" s="228"/>
    </row>
    <row r="74" spans="2:11">
      <c r="E74" s="217"/>
      <c r="F74" s="217"/>
      <c r="G74" s="227"/>
      <c r="H74" s="228"/>
      <c r="I74" s="228"/>
    </row>
    <row r="75" spans="2:11">
      <c r="E75" s="217"/>
      <c r="F75" s="217"/>
      <c r="G75" s="227"/>
      <c r="H75" s="228"/>
      <c r="I75" s="228"/>
    </row>
    <row r="76" spans="2:11">
      <c r="E76" s="217"/>
      <c r="F76" s="217"/>
      <c r="G76" s="227"/>
      <c r="H76" s="228"/>
      <c r="I76" s="228"/>
    </row>
    <row r="77" spans="2:11">
      <c r="E77" s="217"/>
      <c r="F77" s="217"/>
      <c r="G77" s="227"/>
      <c r="H77" s="228"/>
      <c r="I77" s="228"/>
    </row>
    <row r="78" spans="2:11">
      <c r="E78" s="217"/>
      <c r="F78" s="217"/>
      <c r="G78" s="227"/>
      <c r="H78" s="228"/>
      <c r="I78" s="228"/>
    </row>
    <row r="79" spans="2:11">
      <c r="E79" s="217"/>
      <c r="F79" s="217"/>
      <c r="G79" s="227"/>
      <c r="H79" s="228"/>
      <c r="I79" s="228"/>
    </row>
    <row r="80" spans="2:11">
      <c r="E80" s="217"/>
      <c r="F80" s="217"/>
      <c r="G80" s="227"/>
      <c r="H80" s="228"/>
      <c r="I80" s="228"/>
    </row>
    <row r="81" spans="1:41">
      <c r="E81" s="217"/>
      <c r="F81" s="217"/>
      <c r="G81" s="227"/>
      <c r="H81" s="228"/>
      <c r="I81" s="228"/>
    </row>
    <row r="82" spans="1:41">
      <c r="A82" s="270"/>
      <c r="B82" s="271" t="s">
        <v>282</v>
      </c>
      <c r="C82" s="272"/>
      <c r="D82" s="273" t="s">
        <v>283</v>
      </c>
      <c r="E82" s="274" t="s">
        <v>284</v>
      </c>
      <c r="F82" s="274" t="s">
        <v>53</v>
      </c>
      <c r="H82" s="265"/>
      <c r="I82" s="265"/>
    </row>
    <row r="83" spans="1:41">
      <c r="B83" s="275" t="s">
        <v>538</v>
      </c>
      <c r="D83" s="217">
        <f>IF(D91&gt;H83,H83,D91)</f>
        <v>150000</v>
      </c>
      <c r="E83" s="276">
        <v>0</v>
      </c>
      <c r="F83" s="217">
        <f>+D83*E83</f>
        <v>0</v>
      </c>
      <c r="G83" s="227"/>
      <c r="H83" s="228">
        <v>150000</v>
      </c>
      <c r="I83" s="228">
        <v>0</v>
      </c>
    </row>
    <row r="84" spans="1:41">
      <c r="B84" s="275" t="s">
        <v>539</v>
      </c>
      <c r="D84" s="217">
        <f>IF(D91&gt;H84,I84,D91-SUM(D82:D83))</f>
        <v>150000</v>
      </c>
      <c r="E84" s="276">
        <v>0.05</v>
      </c>
      <c r="F84" s="217">
        <f>+D84*E84</f>
        <v>7500</v>
      </c>
      <c r="G84" s="227"/>
      <c r="H84" s="228">
        <v>300000</v>
      </c>
      <c r="I84" s="228">
        <f>+H84-H83</f>
        <v>150000</v>
      </c>
    </row>
    <row r="85" spans="1:41">
      <c r="B85" s="275" t="s">
        <v>540</v>
      </c>
      <c r="D85" s="217">
        <f>IF(D91&gt;H85,I85,D91-SUM(D82:D84))</f>
        <v>200000</v>
      </c>
      <c r="E85" s="276">
        <v>0.1</v>
      </c>
      <c r="F85" s="217">
        <f t="shared" ref="F85:F90" si="63">+D85*E85</f>
        <v>20000</v>
      </c>
      <c r="G85" s="227"/>
      <c r="H85" s="228">
        <v>500000</v>
      </c>
      <c r="I85" s="228">
        <f t="shared" ref="I85:I90" si="64">+H85-H84</f>
        <v>200000</v>
      </c>
    </row>
    <row r="86" spans="1:41">
      <c r="B86" s="275" t="s">
        <v>541</v>
      </c>
      <c r="C86" s="216"/>
      <c r="D86" s="217">
        <f>IF(D91&gt;H86,I86,D91-SUM(D82:D85))</f>
        <v>19100</v>
      </c>
      <c r="E86" s="276">
        <v>0.15</v>
      </c>
      <c r="F86" s="218">
        <f t="shared" si="63"/>
        <v>2865</v>
      </c>
      <c r="G86" s="216"/>
      <c r="H86" s="217">
        <v>750000</v>
      </c>
      <c r="I86" s="217">
        <f t="shared" si="64"/>
        <v>250000</v>
      </c>
    </row>
    <row r="87" spans="1:41">
      <c r="B87" s="275" t="s">
        <v>542</v>
      </c>
      <c r="C87" s="216"/>
      <c r="D87" s="217">
        <f>IF(D91&gt;H87,I87,D91-SUM(D82:D86))</f>
        <v>0</v>
      </c>
      <c r="E87" s="276">
        <v>0.2</v>
      </c>
      <c r="F87" s="218">
        <f t="shared" si="63"/>
        <v>0</v>
      </c>
      <c r="G87" s="216"/>
      <c r="H87" s="217">
        <v>1000000</v>
      </c>
      <c r="I87" s="217">
        <f t="shared" si="64"/>
        <v>250000</v>
      </c>
    </row>
    <row r="88" spans="1:41" s="251" customFormat="1">
      <c r="A88" s="216"/>
      <c r="B88" s="275" t="s">
        <v>543</v>
      </c>
      <c r="C88" s="216"/>
      <c r="D88" s="217">
        <f>IF(D91&gt;H88,I88,D91-SUM(D82:D87))</f>
        <v>0</v>
      </c>
      <c r="E88" s="276">
        <v>0.25</v>
      </c>
      <c r="F88" s="218">
        <f t="shared" si="63"/>
        <v>0</v>
      </c>
      <c r="G88" s="216"/>
      <c r="H88" s="217">
        <v>2000000</v>
      </c>
      <c r="I88" s="217">
        <f t="shared" si="64"/>
        <v>1000000</v>
      </c>
      <c r="J88" s="222"/>
      <c r="K88" s="277"/>
      <c r="O88" s="294"/>
      <c r="P88" s="294"/>
      <c r="Q88" s="294"/>
      <c r="R88" s="294"/>
      <c r="S88" s="294"/>
      <c r="T88" s="294"/>
      <c r="U88" s="294"/>
      <c r="V88" s="294"/>
      <c r="W88" s="294"/>
      <c r="X88" s="294"/>
      <c r="Y88" s="294"/>
      <c r="Z88" s="294"/>
      <c r="AA88" s="294"/>
      <c r="AB88" s="294"/>
      <c r="AC88" s="294"/>
      <c r="AD88" s="294"/>
      <c r="AE88" s="294"/>
      <c r="AF88" s="294"/>
      <c r="AG88" s="294"/>
      <c r="AH88" s="294"/>
      <c r="AI88" s="294"/>
      <c r="AJ88" s="294"/>
      <c r="AK88" s="294"/>
      <c r="AL88" s="294"/>
      <c r="AM88" s="294"/>
      <c r="AN88" s="294"/>
      <c r="AO88" s="294"/>
    </row>
    <row r="89" spans="1:41" s="251" customFormat="1">
      <c r="A89" s="278"/>
      <c r="B89" s="275" t="s">
        <v>544</v>
      </c>
      <c r="C89" s="216"/>
      <c r="D89" s="217">
        <f>IF(D91&gt;H89,I89,D91-SUM(D82:D88))</f>
        <v>0</v>
      </c>
      <c r="E89" s="276">
        <v>0.3</v>
      </c>
      <c r="F89" s="218">
        <f t="shared" si="63"/>
        <v>0</v>
      </c>
      <c r="G89" s="216"/>
      <c r="H89" s="217">
        <v>4000000</v>
      </c>
      <c r="I89" s="217">
        <f t="shared" si="64"/>
        <v>2000000</v>
      </c>
      <c r="J89" s="222"/>
      <c r="K89" s="277"/>
      <c r="O89" s="294"/>
      <c r="P89" s="294"/>
      <c r="Q89" s="294"/>
      <c r="R89" s="294"/>
      <c r="S89" s="294"/>
      <c r="T89" s="294"/>
      <c r="U89" s="294"/>
      <c r="V89" s="294"/>
      <c r="W89" s="294"/>
      <c r="X89" s="294"/>
      <c r="Y89" s="294"/>
      <c r="Z89" s="294"/>
      <c r="AA89" s="294"/>
      <c r="AB89" s="294"/>
      <c r="AC89" s="294"/>
      <c r="AD89" s="294"/>
      <c r="AE89" s="294"/>
      <c r="AF89" s="294"/>
      <c r="AG89" s="294"/>
      <c r="AH89" s="294"/>
      <c r="AI89" s="294"/>
      <c r="AJ89" s="294"/>
      <c r="AK89" s="294"/>
      <c r="AL89" s="294"/>
      <c r="AM89" s="294"/>
      <c r="AN89" s="294"/>
      <c r="AO89" s="294"/>
    </row>
    <row r="90" spans="1:41">
      <c r="B90" s="275" t="s">
        <v>285</v>
      </c>
      <c r="C90" s="216"/>
      <c r="D90" s="217">
        <f>IF(D91&gt;H90,I90,D91-SUM(D82:D89))</f>
        <v>0</v>
      </c>
      <c r="E90" s="276">
        <v>0.35</v>
      </c>
      <c r="F90" s="218">
        <f t="shared" si="63"/>
        <v>0</v>
      </c>
      <c r="G90" s="216"/>
      <c r="H90" s="217">
        <v>99999999</v>
      </c>
      <c r="I90" s="217">
        <f t="shared" si="64"/>
        <v>95999999</v>
      </c>
      <c r="K90" s="277"/>
    </row>
    <row r="91" spans="1:41" ht="22.5" thickBot="1">
      <c r="A91" s="284"/>
      <c r="B91" s="286" t="s">
        <v>286</v>
      </c>
      <c r="C91" s="287"/>
      <c r="D91" s="288">
        <f>IF(H48&lt;0,0,H48)</f>
        <v>519100</v>
      </c>
      <c r="E91" s="286"/>
      <c r="F91" s="281">
        <f>SUM(F83:F90)</f>
        <v>30365</v>
      </c>
      <c r="G91"/>
      <c r="H91" s="289"/>
      <c r="I91" s="289"/>
      <c r="J91"/>
    </row>
    <row r="92" spans="1:41">
      <c r="A92" s="284"/>
      <c r="B92"/>
      <c r="C92" s="285"/>
      <c r="D92" s="285"/>
      <c r="E92" s="285"/>
      <c r="F92" s="285"/>
      <c r="G92" s="290"/>
      <c r="H92" s="289"/>
      <c r="I92" s="289"/>
      <c r="J92"/>
    </row>
    <row r="93" spans="1:41">
      <c r="A93" s="270"/>
      <c r="B93" s="271" t="s">
        <v>282</v>
      </c>
      <c r="C93" s="283"/>
      <c r="D93" s="273" t="s">
        <v>283</v>
      </c>
      <c r="E93" s="274" t="s">
        <v>284</v>
      </c>
      <c r="F93" s="274" t="s">
        <v>53</v>
      </c>
      <c r="H93" s="265"/>
      <c r="I93" s="265"/>
      <c r="J93"/>
    </row>
    <row r="94" spans="1:41">
      <c r="B94" s="275" t="s">
        <v>538</v>
      </c>
      <c r="D94" s="217">
        <f>IF(D102&gt;H94,H94,D102)</f>
        <v>150000</v>
      </c>
      <c r="E94" s="276">
        <v>0</v>
      </c>
      <c r="F94" s="217">
        <f>+D94*E94</f>
        <v>0</v>
      </c>
      <c r="G94" s="227"/>
      <c r="H94" s="228">
        <v>150000</v>
      </c>
      <c r="I94" s="228">
        <v>0</v>
      </c>
    </row>
    <row r="95" spans="1:41">
      <c r="B95" s="275" t="s">
        <v>539</v>
      </c>
      <c r="D95" s="217">
        <f>IF(D102&gt;H95,I95,D102-SUM(D93:D94))</f>
        <v>150000</v>
      </c>
      <c r="E95" s="276">
        <v>0.05</v>
      </c>
      <c r="F95" s="217">
        <f>+D95*E95</f>
        <v>7500</v>
      </c>
      <c r="G95" s="227"/>
      <c r="H95" s="228">
        <v>300000</v>
      </c>
      <c r="I95" s="228">
        <f>+H95-H94</f>
        <v>150000</v>
      </c>
    </row>
    <row r="96" spans="1:41">
      <c r="B96" s="275" t="s">
        <v>540</v>
      </c>
      <c r="D96" s="217">
        <f>IF(D102&gt;H96,I96,D102-SUM(D93:D95))</f>
        <v>200000</v>
      </c>
      <c r="E96" s="276">
        <v>0.1</v>
      </c>
      <c r="F96" s="217">
        <f t="shared" ref="F96:F101" si="65">+D96*E96</f>
        <v>20000</v>
      </c>
      <c r="G96" s="227"/>
      <c r="H96" s="228">
        <v>500000</v>
      </c>
      <c r="I96" s="228">
        <f t="shared" ref="I96:I101" si="66">+H96-H95</f>
        <v>200000</v>
      </c>
    </row>
    <row r="97" spans="1:41">
      <c r="B97" s="275" t="s">
        <v>541</v>
      </c>
      <c r="C97" s="216"/>
      <c r="D97" s="217">
        <f>IF(D102&gt;H97,I97,D102-SUM(D93:D96))</f>
        <v>37100</v>
      </c>
      <c r="E97" s="276">
        <v>0.15</v>
      </c>
      <c r="F97" s="218">
        <f t="shared" si="65"/>
        <v>5565</v>
      </c>
      <c r="G97" s="216"/>
      <c r="H97" s="217">
        <v>750000</v>
      </c>
      <c r="I97" s="217">
        <f t="shared" si="66"/>
        <v>250000</v>
      </c>
    </row>
    <row r="98" spans="1:41">
      <c r="B98" s="275" t="s">
        <v>542</v>
      </c>
      <c r="C98" s="216"/>
      <c r="D98" s="217">
        <f>IF(D102&gt;H98,I98,D102-SUM(D93:D97))</f>
        <v>0</v>
      </c>
      <c r="E98" s="276">
        <v>0.2</v>
      </c>
      <c r="F98" s="218">
        <f t="shared" si="65"/>
        <v>0</v>
      </c>
      <c r="G98" s="216"/>
      <c r="H98" s="217">
        <v>1000000</v>
      </c>
      <c r="I98" s="217">
        <f t="shared" si="66"/>
        <v>250000</v>
      </c>
    </row>
    <row r="99" spans="1:41" s="251" customFormat="1">
      <c r="A99" s="216"/>
      <c r="B99" s="275" t="s">
        <v>543</v>
      </c>
      <c r="C99" s="216"/>
      <c r="D99" s="217">
        <f>IF(D102&gt;H99,I99,D102-SUM(D93:D98))</f>
        <v>0</v>
      </c>
      <c r="E99" s="276">
        <v>0.25</v>
      </c>
      <c r="F99" s="218">
        <f t="shared" si="65"/>
        <v>0</v>
      </c>
      <c r="G99" s="216"/>
      <c r="H99" s="217">
        <v>2000000</v>
      </c>
      <c r="I99" s="217">
        <f t="shared" si="66"/>
        <v>1000000</v>
      </c>
      <c r="J99" s="222"/>
      <c r="K99" s="277"/>
      <c r="O99" s="294"/>
      <c r="P99" s="294"/>
      <c r="Q99" s="294"/>
      <c r="R99" s="294"/>
      <c r="S99" s="294"/>
      <c r="T99" s="294"/>
      <c r="U99" s="294"/>
      <c r="V99" s="294"/>
      <c r="W99" s="294"/>
      <c r="X99" s="294"/>
      <c r="Y99" s="294"/>
      <c r="Z99" s="294"/>
      <c r="AA99" s="294"/>
      <c r="AB99" s="294"/>
      <c r="AC99" s="294"/>
      <c r="AD99" s="294"/>
      <c r="AE99" s="294"/>
      <c r="AF99" s="294"/>
      <c r="AG99" s="294"/>
      <c r="AH99" s="294"/>
      <c r="AI99" s="294"/>
      <c r="AJ99" s="294"/>
      <c r="AK99" s="294"/>
      <c r="AL99" s="294"/>
      <c r="AM99" s="294"/>
      <c r="AN99" s="294"/>
      <c r="AO99" s="294"/>
    </row>
    <row r="100" spans="1:41" s="251" customFormat="1">
      <c r="A100" s="278"/>
      <c r="B100" s="275" t="s">
        <v>544</v>
      </c>
      <c r="C100" s="216"/>
      <c r="D100" s="217">
        <f>IF(D102&gt;H100,I100,D102-SUM(D93:D99))</f>
        <v>0</v>
      </c>
      <c r="E100" s="276">
        <v>0.3</v>
      </c>
      <c r="F100" s="218">
        <f t="shared" si="65"/>
        <v>0</v>
      </c>
      <c r="G100" s="216"/>
      <c r="H100" s="217">
        <v>4000000</v>
      </c>
      <c r="I100" s="217">
        <f t="shared" si="66"/>
        <v>2000000</v>
      </c>
      <c r="J100" s="222"/>
      <c r="K100" s="277"/>
      <c r="O100" s="294"/>
      <c r="P100" s="294"/>
      <c r="Q100" s="294"/>
      <c r="R100" s="294"/>
      <c r="S100" s="294"/>
      <c r="T100" s="294"/>
      <c r="U100" s="294"/>
      <c r="V100" s="294"/>
      <c r="W100" s="294"/>
      <c r="X100" s="294"/>
      <c r="Y100" s="294"/>
      <c r="Z100" s="294"/>
      <c r="AA100" s="294"/>
      <c r="AB100" s="294"/>
      <c r="AC100" s="294"/>
      <c r="AD100" s="294"/>
      <c r="AE100" s="294"/>
      <c r="AF100" s="294"/>
      <c r="AG100" s="294"/>
      <c r="AH100" s="294"/>
      <c r="AI100" s="294"/>
      <c r="AJ100" s="294"/>
      <c r="AK100" s="294"/>
      <c r="AL100" s="294"/>
      <c r="AM100" s="294"/>
      <c r="AN100" s="294"/>
      <c r="AO100" s="294"/>
    </row>
    <row r="101" spans="1:41">
      <c r="B101" s="275" t="s">
        <v>285</v>
      </c>
      <c r="C101" s="216"/>
      <c r="D101" s="217">
        <f>IF(D102&gt;H101,I101,D102-SUM(D93:D100))</f>
        <v>0</v>
      </c>
      <c r="E101" s="276">
        <v>0.35</v>
      </c>
      <c r="F101" s="218">
        <f t="shared" si="65"/>
        <v>0</v>
      </c>
      <c r="G101" s="216"/>
      <c r="H101" s="217">
        <v>99999999</v>
      </c>
      <c r="I101" s="217">
        <f t="shared" si="66"/>
        <v>95999999</v>
      </c>
      <c r="K101" s="277"/>
    </row>
    <row r="102" spans="1:41" ht="22.5" thickBot="1">
      <c r="A102" s="284"/>
      <c r="B102" s="286" t="s">
        <v>286</v>
      </c>
      <c r="C102" s="287"/>
      <c r="D102" s="288">
        <f>IF(I48&lt;0,0,I48)</f>
        <v>537100</v>
      </c>
      <c r="E102" s="286"/>
      <c r="F102" s="281">
        <f>SUM(F94:F101)</f>
        <v>33065</v>
      </c>
      <c r="G102"/>
      <c r="H102" s="289"/>
      <c r="I102" s="289"/>
      <c r="J102"/>
    </row>
    <row r="103" spans="1:41">
      <c r="A103"/>
      <c r="B103"/>
      <c r="C103"/>
      <c r="D103"/>
      <c r="E103"/>
      <c r="F103"/>
      <c r="G103"/>
      <c r="H103"/>
      <c r="I103"/>
      <c r="J103"/>
    </row>
    <row r="104" spans="1:41">
      <c r="A104"/>
      <c r="B104"/>
      <c r="C104"/>
      <c r="D104"/>
      <c r="E104"/>
      <c r="F104"/>
      <c r="G104"/>
      <c r="H104"/>
      <c r="I104"/>
      <c r="J104"/>
    </row>
    <row r="105" spans="1:41">
      <c r="E105" s="217"/>
      <c r="F105" s="217"/>
      <c r="G105" s="227"/>
      <c r="H105" s="228"/>
      <c r="I105" s="228"/>
    </row>
    <row r="106" spans="1:41">
      <c r="E106" s="217"/>
      <c r="F106" s="217"/>
    </row>
    <row r="109" spans="1:41" ht="23.25">
      <c r="A109" s="216">
        <v>1</v>
      </c>
      <c r="B109" s="282" t="s">
        <v>293</v>
      </c>
      <c r="C109" s="319">
        <v>1</v>
      </c>
      <c r="D109" s="216" t="str">
        <f>VLOOKUP(C109,A109:B120,2)</f>
        <v>Jan</v>
      </c>
      <c r="E109" s="225" t="str">
        <f>VLOOKUP(C109,G109:H120,2)</f>
        <v>มกราคม</v>
      </c>
      <c r="G109" s="359">
        <v>1</v>
      </c>
      <c r="H109" s="220" t="s">
        <v>328</v>
      </c>
    </row>
    <row r="110" spans="1:41" ht="23.25">
      <c r="A110" s="216">
        <f t="shared" ref="A110:A119" si="67">+A109+1</f>
        <v>2</v>
      </c>
      <c r="B110" s="282" t="s">
        <v>294</v>
      </c>
      <c r="C110" s="291" t="s">
        <v>358</v>
      </c>
      <c r="D110" s="216"/>
      <c r="G110" s="359">
        <v>2</v>
      </c>
      <c r="H110" s="220" t="s">
        <v>329</v>
      </c>
    </row>
    <row r="111" spans="1:41" ht="23.25">
      <c r="A111" s="216">
        <f t="shared" si="67"/>
        <v>3</v>
      </c>
      <c r="B111" s="282" t="s">
        <v>295</v>
      </c>
      <c r="C111" s="451" t="s">
        <v>361</v>
      </c>
      <c r="D111" s="452">
        <f>CompanyProfile!C13-543</f>
        <v>2014</v>
      </c>
      <c r="G111" s="359">
        <v>3</v>
      </c>
      <c r="H111" s="220" t="s">
        <v>330</v>
      </c>
    </row>
    <row r="112" spans="1:41" ht="23.25">
      <c r="A112" s="216">
        <f t="shared" si="67"/>
        <v>4</v>
      </c>
      <c r="B112" s="282" t="s">
        <v>296</v>
      </c>
      <c r="C112" s="451" t="s">
        <v>359</v>
      </c>
      <c r="D112" s="216">
        <f>V_Month</f>
        <v>1</v>
      </c>
      <c r="G112" s="359">
        <v>4</v>
      </c>
      <c r="H112" s="220" t="s">
        <v>331</v>
      </c>
    </row>
    <row r="113" spans="1:8" ht="23.25">
      <c r="A113" s="216">
        <f t="shared" si="67"/>
        <v>5</v>
      </c>
      <c r="B113" s="282" t="s">
        <v>287</v>
      </c>
      <c r="C113" s="451" t="s">
        <v>360</v>
      </c>
      <c r="D113" s="216">
        <v>15</v>
      </c>
      <c r="G113" s="359">
        <v>5</v>
      </c>
      <c r="H113" s="220" t="s">
        <v>332</v>
      </c>
    </row>
    <row r="114" spans="1:8" ht="23.25">
      <c r="A114" s="216">
        <f t="shared" si="67"/>
        <v>6</v>
      </c>
      <c r="B114" s="282" t="s">
        <v>297</v>
      </c>
      <c r="C114" s="451" t="s">
        <v>362</v>
      </c>
      <c r="D114" s="453">
        <f>DATE(D111,D112,D113)</f>
        <v>41654</v>
      </c>
      <c r="G114" s="359">
        <v>6</v>
      </c>
      <c r="H114" s="220" t="s">
        <v>333</v>
      </c>
    </row>
    <row r="115" spans="1:8" ht="23.25">
      <c r="A115" s="216">
        <f t="shared" si="67"/>
        <v>7</v>
      </c>
      <c r="B115" s="282" t="s">
        <v>298</v>
      </c>
      <c r="C115" s="216"/>
      <c r="D115" s="216"/>
      <c r="G115" s="359">
        <v>7</v>
      </c>
      <c r="H115" s="220" t="s">
        <v>334</v>
      </c>
    </row>
    <row r="116" spans="1:8" ht="23.25">
      <c r="A116" s="216">
        <f t="shared" si="67"/>
        <v>8</v>
      </c>
      <c r="B116" s="282" t="s">
        <v>299</v>
      </c>
      <c r="C116" s="216"/>
      <c r="D116" s="216"/>
      <c r="G116" s="359">
        <v>8</v>
      </c>
      <c r="H116" s="220" t="s">
        <v>335</v>
      </c>
    </row>
    <row r="117" spans="1:8" ht="23.25">
      <c r="A117" s="216">
        <f t="shared" si="67"/>
        <v>9</v>
      </c>
      <c r="B117" s="282" t="s">
        <v>300</v>
      </c>
      <c r="C117" s="216"/>
      <c r="D117" s="216"/>
      <c r="G117" s="359">
        <v>9</v>
      </c>
      <c r="H117" s="220" t="s">
        <v>336</v>
      </c>
    </row>
    <row r="118" spans="1:8" ht="23.25">
      <c r="A118" s="216">
        <f t="shared" si="67"/>
        <v>10</v>
      </c>
      <c r="B118" s="282" t="s">
        <v>301</v>
      </c>
      <c r="C118" s="216"/>
      <c r="D118" s="216"/>
      <c r="G118" s="359">
        <v>10</v>
      </c>
      <c r="H118" s="220" t="s">
        <v>337</v>
      </c>
    </row>
    <row r="119" spans="1:8" ht="23.25">
      <c r="A119" s="216">
        <f t="shared" si="67"/>
        <v>11</v>
      </c>
      <c r="B119" s="282" t="s">
        <v>302</v>
      </c>
      <c r="C119" s="216"/>
      <c r="D119" s="216"/>
      <c r="G119" s="359">
        <v>11</v>
      </c>
      <c r="H119" s="220" t="s">
        <v>338</v>
      </c>
    </row>
    <row r="120" spans="1:8" ht="23.25">
      <c r="A120" s="216">
        <f>+A119+1</f>
        <v>12</v>
      </c>
      <c r="B120" s="282" t="s">
        <v>303</v>
      </c>
      <c r="C120" s="216"/>
      <c r="D120" s="216"/>
      <c r="G120" s="359">
        <v>12</v>
      </c>
      <c r="H120" s="220" t="s">
        <v>339</v>
      </c>
    </row>
  </sheetData>
  <sheetProtection sheet="1" objects="1" scenarios="1"/>
  <mergeCells count="1">
    <mergeCell ref="A2:B2"/>
  </mergeCells>
  <phoneticPr fontId="27" type="noConversion"/>
  <printOptions horizontalCentered="1"/>
  <pageMargins left="0.47" right="0.45" top="0.38" bottom="0.39" header="0.26" footer="0.17"/>
  <pageSetup paperSize="9" scale="68" orientation="portrait" blackAndWhite="1" horizontalDpi="400" verticalDpi="400" r:id="rId1"/>
  <headerFooter alignWithMargins="0">
    <oddFooter>&amp;R&amp;D</oddFooter>
  </headerFooter>
  <drawing r:id="rId2"/>
  <legacyDrawing r:id="rId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222"/>
  <dimension ref="A1:A30"/>
  <sheetViews>
    <sheetView workbookViewId="0"/>
  </sheetViews>
  <sheetFormatPr defaultRowHeight="21.75"/>
  <cols>
    <col min="1" max="1" width="5.140625" customWidth="1"/>
    <col min="2" max="2" width="5.85546875" customWidth="1"/>
    <col min="3" max="3" width="4.7109375" bestFit="1" customWidth="1"/>
    <col min="4" max="4" width="10.42578125" customWidth="1"/>
    <col min="5" max="5" width="15.7109375" bestFit="1" customWidth="1"/>
    <col min="6" max="6" width="11.5703125" customWidth="1"/>
    <col min="7" max="7" width="10.7109375" customWidth="1"/>
    <col min="8" max="8" width="11.28515625" customWidth="1"/>
    <col min="9" max="11" width="9.28515625" customWidth="1"/>
    <col min="12" max="12" width="10.7109375" customWidth="1"/>
    <col min="13" max="13" width="10.140625" customWidth="1"/>
    <col min="14" max="14" width="11.7109375" customWidth="1"/>
    <col min="15" max="15" width="14.28515625" bestFit="1" customWidth="1"/>
    <col min="16" max="16" width="10.5703125" bestFit="1" customWidth="1"/>
    <col min="17" max="17" width="12.140625" bestFit="1" customWidth="1"/>
    <col min="18" max="18" width="11.42578125" customWidth="1"/>
    <col min="19" max="19" width="10.7109375" customWidth="1"/>
    <col min="20" max="20" width="13.7109375" customWidth="1"/>
    <col min="21" max="21" width="10.140625" customWidth="1"/>
    <col min="22" max="30" width="5.7109375" customWidth="1"/>
    <col min="31" max="33" width="11.7109375" customWidth="1"/>
    <col min="34" max="34" width="9.28515625" customWidth="1"/>
    <col min="35" max="35" width="8.42578125" customWidth="1"/>
    <col min="36" max="36" width="11" customWidth="1"/>
    <col min="37" max="38" width="10.140625" customWidth="1"/>
    <col min="39" max="39" width="9.28515625" customWidth="1"/>
  </cols>
  <sheetData>
    <row r="1" ht="11.25" customHeight="1"/>
    <row r="2" ht="11.25" customHeight="1"/>
    <row r="3" ht="11.25" customHeight="1"/>
    <row r="4" ht="11.25" customHeight="1"/>
    <row r="5" ht="11.25" customHeight="1"/>
    <row r="6" ht="11.25" customHeight="1"/>
    <row r="7" ht="11.25" customHeight="1"/>
    <row r="8" ht="11.25" customHeight="1"/>
    <row r="9" ht="11.25" customHeight="1"/>
    <row r="10" ht="11.25" customHeight="1"/>
    <row r="11" ht="11.25" customHeight="1"/>
    <row r="12" ht="11.25" customHeight="1"/>
    <row r="13" ht="11.25" customHeight="1"/>
    <row r="14" ht="11.25" customHeight="1"/>
    <row r="15" ht="11.25" customHeight="1"/>
    <row r="16" ht="11.25" customHeight="1"/>
    <row r="17" ht="11.25" customHeight="1"/>
    <row r="18" ht="11.25" customHeight="1"/>
    <row r="19" ht="11.25" customHeight="1"/>
    <row r="20" ht="11.25" customHeight="1"/>
    <row r="21" ht="11.25" customHeight="1"/>
    <row r="22" ht="11.25" customHeight="1"/>
    <row r="23" ht="11.25" customHeight="1"/>
    <row r="24" ht="11.25" customHeight="1"/>
    <row r="25" ht="11.25" customHeight="1"/>
    <row r="26" ht="11.25" customHeight="1"/>
    <row r="27" ht="11.25" customHeight="1"/>
    <row r="28" ht="11.25" customHeight="1"/>
    <row r="29" ht="15" customHeight="1"/>
    <row r="30" ht="15" customHeight="1"/>
  </sheetData>
  <sortState ref="A1:BB30">
    <sortCondition ref="A1"/>
    <sortCondition ref="B1"/>
  </sortState>
  <phoneticPr fontId="27" type="noConversion"/>
  <printOptions horizontalCentered="1"/>
  <pageMargins left="0" right="0" top="0.31496062992125984" bottom="0.39370078740157483" header="0.23622047244094491" footer="0"/>
  <pageSetup paperSize="9" scale="85" orientation="landscape" blackAndWhite="1" horizontalDpi="360" verticalDpi="360" r:id="rId1"/>
  <headerFooter alignWithMargins="0">
    <oddFooter>&amp;LPayroll detail&amp;RPage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23</vt:i4>
      </vt:variant>
      <vt:variant>
        <vt:lpstr>ช่วงที่มีชื่อ</vt:lpstr>
      </vt:variant>
      <vt:variant>
        <vt:i4>59</vt:i4>
      </vt:variant>
    </vt:vector>
  </HeadingPairs>
  <TitlesOfParts>
    <vt:vector size="82" baseType="lpstr">
      <vt:lpstr>Control_Sheet</vt:lpstr>
      <vt:lpstr>Help</vt:lpstr>
      <vt:lpstr>CompanyProfile</vt:lpstr>
      <vt:lpstr>Employee</vt:lpstr>
      <vt:lpstr>Employee2</vt:lpstr>
      <vt:lpstr>SheetData</vt:lpstr>
      <vt:lpstr>TempData</vt:lpstr>
      <vt:lpstr>Salary Report</vt:lpstr>
      <vt:lpstr>Report1</vt:lpstr>
      <vt:lpstr>Tax01</vt:lpstr>
      <vt:lpstr>Bank_Payment</vt:lpstr>
      <vt:lpstr>WhTax</vt:lpstr>
      <vt:lpstr>Pay_slip</vt:lpstr>
      <vt:lpstr>สปส.1-10 ส่วนที่1</vt:lpstr>
      <vt:lpstr>สาขา1</vt:lpstr>
      <vt:lpstr>สปส. 1-03-1</vt:lpstr>
      <vt:lpstr>สปส. 6-09</vt:lpstr>
      <vt:lpstr>YearToDate</vt:lpstr>
      <vt:lpstr>Mar</vt:lpstr>
      <vt:lpstr>Feb</vt:lpstr>
      <vt:lpstr>Jan</vt:lpstr>
      <vt:lpstr>TaxCalculation</vt:lpstr>
      <vt:lpstr>TempData2</vt:lpstr>
      <vt:lpstr>_SPS1031</vt:lpstr>
      <vt:lpstr>_SPS609</vt:lpstr>
      <vt:lpstr>D_Bank</vt:lpstr>
      <vt:lpstr>Data1</vt:lpstr>
      <vt:lpstr>Data2</vt:lpstr>
      <vt:lpstr>DULine</vt:lpstr>
      <vt:lpstr>EmpNo1</vt:lpstr>
      <vt:lpstr>EmpNo2</vt:lpstr>
      <vt:lpstr>EndNo</vt:lpstr>
      <vt:lpstr>EndNo2</vt:lpstr>
      <vt:lpstr>F_Bank</vt:lpstr>
      <vt:lpstr>FM1TAX01</vt:lpstr>
      <vt:lpstr>FM2TAX01</vt:lpstr>
      <vt:lpstr>GReport</vt:lpstr>
      <vt:lpstr>GTot_Bank</vt:lpstr>
      <vt:lpstr>H_Bank</vt:lpstr>
      <vt:lpstr>HTax1</vt:lpstr>
      <vt:lpstr>LTax1</vt:lpstr>
      <vt:lpstr>LTax2</vt:lpstr>
      <vt:lpstr>LTax3</vt:lpstr>
      <vt:lpstr>MthName</vt:lpstr>
      <vt:lpstr>PDate</vt:lpstr>
      <vt:lpstr>Bank_Payment!Print_Area</vt:lpstr>
      <vt:lpstr>Employee!Print_Area</vt:lpstr>
      <vt:lpstr>Employee2!Print_Area</vt:lpstr>
      <vt:lpstr>Help!Print_Area</vt:lpstr>
      <vt:lpstr>Pay_slip!Print_Area</vt:lpstr>
      <vt:lpstr>Report1!Print_Area</vt:lpstr>
      <vt:lpstr>'Salary Report'!Print_Area</vt:lpstr>
      <vt:lpstr>SheetData!Print_Area</vt:lpstr>
      <vt:lpstr>'Tax01'!Print_Area</vt:lpstr>
      <vt:lpstr>TaxCalculation!Print_Area</vt:lpstr>
      <vt:lpstr>TempData!Print_Area</vt:lpstr>
      <vt:lpstr>TempData2!Print_Area</vt:lpstr>
      <vt:lpstr>WhTax!Print_Area</vt:lpstr>
      <vt:lpstr>YearToDate!Print_Area</vt:lpstr>
      <vt:lpstr>'สปส. 6-09'!Print_Area</vt:lpstr>
      <vt:lpstr>'สปส.1-10 ส่วนที่1'!Print_Area</vt:lpstr>
      <vt:lpstr>สาขา1!Print_Area</vt:lpstr>
      <vt:lpstr>Bank_Payment!Print_Titles</vt:lpstr>
      <vt:lpstr>Employee!Print_Titles</vt:lpstr>
      <vt:lpstr>Employee2!Print_Titles</vt:lpstr>
      <vt:lpstr>Report1!Print_Titles</vt:lpstr>
      <vt:lpstr>SheetData!Print_Titles</vt:lpstr>
      <vt:lpstr>'Tax01'!Print_Titles</vt:lpstr>
      <vt:lpstr>TempData!Print_Titles</vt:lpstr>
      <vt:lpstr>TempData2!Print_Titles</vt:lpstr>
      <vt:lpstr>YearToDate!Print_Titles</vt:lpstr>
      <vt:lpstr>SBranch</vt:lpstr>
      <vt:lpstr>SelBank</vt:lpstr>
      <vt:lpstr>SelCostCenter</vt:lpstr>
      <vt:lpstr>SFRate</vt:lpstr>
      <vt:lpstr>SSFFileName</vt:lpstr>
      <vt:lpstr>StartNo</vt:lpstr>
      <vt:lpstr>StartNo2</vt:lpstr>
      <vt:lpstr>TaxSetUp</vt:lpstr>
      <vt:lpstr>Tot_Bank</vt:lpstr>
      <vt:lpstr>ULine</vt:lpstr>
      <vt:lpstr>V_Month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Worawuth</dc:creator>
  <cp:lastModifiedBy>moo</cp:lastModifiedBy>
  <cp:lastPrinted>2012-12-21T09:06:31Z</cp:lastPrinted>
  <dcterms:created xsi:type="dcterms:W3CDTF">2003-02-03T19:17:14Z</dcterms:created>
  <dcterms:modified xsi:type="dcterms:W3CDTF">2014-02-07T16:09:23Z</dcterms:modified>
</cp:coreProperties>
</file>