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I\Desktop\"/>
    </mc:Choice>
  </mc:AlternateContent>
  <bookViews>
    <workbookView xWindow="120" yWindow="105" windowWidth="12120" windowHeight="9120" tabRatio="565" firstSheet="2" activeTab="4"/>
  </bookViews>
  <sheets>
    <sheet name="Macro" sheetId="19" state="hidden" r:id="rId1"/>
    <sheet name="ตารางสรุปประเมินความพึงพอใจ" sheetId="11" r:id="rId2"/>
    <sheet name="สรุปวิทยากรตามหลักสูตร" sheetId="21" r:id="rId3"/>
    <sheet name="Sheet4" sheetId="25" r:id="rId4"/>
    <sheet name="Sheet3" sheetId="24" r:id="rId5"/>
    <sheet name="สรุปการประเมินคะแนน" sheetId="18" r:id="rId6"/>
    <sheet name="ข้อมูล" sheetId="14" r:id="rId7"/>
  </sheets>
  <externalReferences>
    <externalReference r:id="rId8"/>
  </externalReferences>
  <definedNames>
    <definedName name="_xlnm._FilterDatabase" localSheetId="1" hidden="1">ตารางสรุปประเมินความพึงพอใจ!$A$8:$CE$10</definedName>
    <definedName name="ClearTable">ตารางสรุปประเมินความพึงพอใจ!$F$11:$J$20,ตารางสรุปประเมินความพึงพอใจ!$N$11:$R$20,ตารางสรุปประเมินความพึงพอใจ!$V$11:$Z$20,ตารางสรุปประเมินความพึงพอใจ!$AD$11:$AH$20,ตารางสรุปประเมินความพึงพอใจ!$AL$11:$AP$20,ตารางสรุปประเมินความพึงพอใจ!$AT$11:$AX$20,ตารางสรุปประเมินความพึงพอใจ!$BB$11:$BF$20,ตารางสรุปประเมินความพึงพอใจ!$BJ$11:$BN$20,ตารางสรุปประเมินความพึงพอใจ!$CA$11:$CJ$20</definedName>
    <definedName name="Data_Staff">OFFSET(ข้อมูล!$J$3,0,0,COUNTA(Table1585[ชื่อและนามสกุล]),1)</definedName>
    <definedName name="IDT">OFFSET(สรุปการประเมินคะแนน!$B$1,1,0,COUNT(สรุปการประเมินคะแนน!$B:$B))</definedName>
    <definedName name="MacroCopy">OFFSET(Macro!$C$1,6,-1,COUNTA(Macro!$B$7:$B$16),25)</definedName>
    <definedName name="_xlnm.Print_Area" localSheetId="1">ตารางสรุปประเมินความพึงพอใจ!$A$1:$CJ$29</definedName>
    <definedName name="_xlnm.Print_Area" localSheetId="2">สรุปวิทยากรตามหลักสูตร!$A$1:$N$38</definedName>
    <definedName name="_xlnm.Print_Titles" localSheetId="1">ตารางสรุปประเมินความพึงพอใจ!$1:$10</definedName>
    <definedName name="score1">OFFSET(ตารางสรุปประเมินความพึงพอใจ!$D$11,0,2,COUNTA(ตารางสรุปประเมินความพึงพอใจ!$F$11:$F$20),5)</definedName>
  </definedNames>
  <calcPr calcId="162913"/>
</workbook>
</file>

<file path=xl/calcChain.xml><?xml version="1.0" encoding="utf-8"?>
<calcChain xmlns="http://schemas.openxmlformats.org/spreadsheetml/2006/main">
  <c r="D38" i="21" l="1"/>
  <c r="D37" i="21"/>
  <c r="D36" i="21"/>
  <c r="D35" i="21"/>
  <c r="D34" i="21"/>
  <c r="D33" i="21"/>
  <c r="D32" i="21"/>
  <c r="D31" i="21"/>
  <c r="A3" i="21"/>
  <c r="E7" i="19"/>
  <c r="E8" i="19"/>
  <c r="E9" i="19"/>
  <c r="E10" i="19"/>
  <c r="E11" i="19"/>
  <c r="E12" i="19"/>
  <c r="E13" i="19"/>
  <c r="E14" i="19"/>
  <c r="E15" i="19"/>
  <c r="E16" i="19"/>
  <c r="AQ11" i="11"/>
  <c r="AQ12" i="11"/>
  <c r="AQ13" i="11"/>
  <c r="AQ14" i="11"/>
  <c r="AQ15" i="11"/>
  <c r="AQ16" i="11"/>
  <c r="AQ17" i="11"/>
  <c r="AQ18" i="11"/>
  <c r="AQ19" i="11"/>
  <c r="AQ20" i="11"/>
  <c r="D30" i="21" l="1"/>
  <c r="D29" i="21"/>
  <c r="I6" i="21" l="1"/>
  <c r="I5" i="21"/>
  <c r="B7" i="21"/>
  <c r="G1" i="19"/>
  <c r="C3" i="19"/>
  <c r="C2" i="19"/>
  <c r="F8" i="19" l="1"/>
  <c r="V8" i="19" s="1"/>
  <c r="F13" i="19"/>
  <c r="U13" i="19" s="1"/>
  <c r="F14" i="19"/>
  <c r="Z14" i="19" s="1"/>
  <c r="F15" i="19"/>
  <c r="X15" i="19" s="1"/>
  <c r="F16" i="19"/>
  <c r="T16" i="19" s="1"/>
  <c r="F12" i="19"/>
  <c r="Y12" i="19" s="1"/>
  <c r="F9" i="19"/>
  <c r="Z9" i="19" s="1"/>
  <c r="F10" i="19"/>
  <c r="Y10" i="19" s="1"/>
  <c r="F11" i="19"/>
  <c r="Z11" i="19" s="1"/>
  <c r="F7" i="19"/>
  <c r="X7" i="19" s="1"/>
  <c r="W15" i="19"/>
  <c r="T15" i="19" l="1"/>
  <c r="W14" i="19"/>
  <c r="U14" i="19"/>
  <c r="X12" i="19"/>
  <c r="S15" i="19"/>
  <c r="U15" i="19"/>
  <c r="V15" i="19"/>
  <c r="U12" i="19"/>
  <c r="W16" i="19"/>
  <c r="S12" i="19"/>
  <c r="S16" i="19"/>
  <c r="U16" i="19"/>
  <c r="Q16" i="19"/>
  <c r="R16" i="19"/>
  <c r="X16" i="19"/>
  <c r="W9" i="19"/>
  <c r="T8" i="19"/>
  <c r="Y7" i="19"/>
  <c r="R13" i="19"/>
  <c r="W8" i="19"/>
  <c r="T13" i="19"/>
  <c r="R9" i="19"/>
  <c r="X9" i="19"/>
  <c r="X8" i="19"/>
  <c r="Q13" i="19"/>
  <c r="R8" i="19"/>
  <c r="Q7" i="19"/>
  <c r="Y8" i="19"/>
  <c r="X11" i="19"/>
  <c r="U7" i="19"/>
  <c r="S8" i="19"/>
  <c r="W11" i="19"/>
  <c r="U8" i="19"/>
  <c r="S11" i="19"/>
  <c r="Q8" i="19"/>
  <c r="W10" i="19"/>
  <c r="X10" i="19"/>
  <c r="S10" i="19"/>
  <c r="Q10" i="19"/>
  <c r="S13" i="19"/>
  <c r="X13" i="19"/>
  <c r="W13" i="19"/>
  <c r="Y13" i="19"/>
  <c r="V12" i="19"/>
  <c r="U11" i="19"/>
  <c r="Y16" i="19"/>
  <c r="T11" i="19"/>
  <c r="Q11" i="19"/>
  <c r="V7" i="19"/>
  <c r="R11" i="19"/>
  <c r="R10" i="19"/>
  <c r="Y14" i="19"/>
  <c r="X14" i="19"/>
  <c r="T14" i="19"/>
  <c r="Y11" i="19"/>
  <c r="Z16" i="19"/>
  <c r="Q14" i="19"/>
  <c r="V16" i="19"/>
  <c r="Z15" i="19"/>
  <c r="U10" i="19"/>
  <c r="T10" i="19"/>
  <c r="S14" i="19"/>
  <c r="R14" i="19"/>
  <c r="V14" i="19"/>
  <c r="T9" i="19"/>
  <c r="S9" i="19"/>
  <c r="R15" i="19"/>
  <c r="Y15" i="19"/>
  <c r="Z13" i="19"/>
  <c r="Q9" i="19"/>
  <c r="Z8" i="19"/>
  <c r="U9" i="19"/>
  <c r="Q15" i="19"/>
  <c r="V13" i="19"/>
  <c r="V11" i="19"/>
  <c r="V10" i="19"/>
  <c r="Z10" i="19"/>
  <c r="Q12" i="19"/>
  <c r="Z12" i="19"/>
  <c r="W12" i="19"/>
  <c r="T12" i="19"/>
  <c r="R12" i="19"/>
  <c r="V9" i="19"/>
  <c r="Y9" i="19"/>
  <c r="R7" i="19"/>
  <c r="S7" i="19"/>
  <c r="T7" i="19"/>
  <c r="W7" i="19"/>
  <c r="Z7" i="19"/>
  <c r="D8" i="19"/>
  <c r="D9" i="19"/>
  <c r="D10" i="19"/>
  <c r="D11" i="19"/>
  <c r="D12" i="19"/>
  <c r="D13" i="19"/>
  <c r="D14" i="19"/>
  <c r="D15" i="19"/>
  <c r="D16" i="19"/>
  <c r="D7" i="19"/>
  <c r="C8" i="19"/>
  <c r="C9" i="19"/>
  <c r="C10" i="19"/>
  <c r="C11" i="19"/>
  <c r="C12" i="19"/>
  <c r="C13" i="19"/>
  <c r="C14" i="19"/>
  <c r="C15" i="19"/>
  <c r="C16" i="19"/>
  <c r="C7" i="19"/>
  <c r="G8" i="19" l="1"/>
  <c r="G9" i="19"/>
  <c r="G10" i="19"/>
  <c r="G11" i="19"/>
  <c r="G12" i="19"/>
  <c r="G13" i="19"/>
  <c r="G14" i="19"/>
  <c r="G15" i="19"/>
  <c r="G16" i="19"/>
  <c r="G7" i="19"/>
  <c r="L6" i="11" l="1"/>
  <c r="C1" i="19" l="1"/>
  <c r="B16" i="19"/>
  <c r="B14" i="19"/>
  <c r="B15" i="19"/>
  <c r="B12" i="19"/>
  <c r="B13" i="19"/>
  <c r="B7" i="19"/>
  <c r="B8" i="19"/>
  <c r="B10" i="19"/>
  <c r="B11" i="19"/>
  <c r="B9" i="19"/>
  <c r="K11" i="11"/>
  <c r="L11" i="11" s="1"/>
  <c r="D5" i="11"/>
  <c r="M11" i="11" l="1"/>
  <c r="A4" i="14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BR14" i="11" l="1"/>
  <c r="I10" i="19" s="1"/>
  <c r="BS14" i="11"/>
  <c r="J10" i="19" s="1"/>
  <c r="BT14" i="11"/>
  <c r="K10" i="19" s="1"/>
  <c r="BU14" i="11"/>
  <c r="L10" i="19" s="1"/>
  <c r="BV14" i="11"/>
  <c r="M10" i="19" s="1"/>
  <c r="BR17" i="11"/>
  <c r="I13" i="19" s="1"/>
  <c r="BS17" i="11"/>
  <c r="J13" i="19" s="1"/>
  <c r="BT17" i="11"/>
  <c r="K13" i="19" s="1"/>
  <c r="BU17" i="11"/>
  <c r="L13" i="19" s="1"/>
  <c r="BV17" i="11"/>
  <c r="M13" i="19" s="1"/>
  <c r="BR15" i="11"/>
  <c r="I11" i="19" s="1"/>
  <c r="BS15" i="11"/>
  <c r="J11" i="19" s="1"/>
  <c r="BT15" i="11"/>
  <c r="K11" i="19" s="1"/>
  <c r="BU15" i="11"/>
  <c r="L11" i="19" s="1"/>
  <c r="BV15" i="11"/>
  <c r="M11" i="19" s="1"/>
  <c r="BR20" i="11"/>
  <c r="I16" i="19" s="1"/>
  <c r="BS20" i="11"/>
  <c r="J16" i="19" s="1"/>
  <c r="BT20" i="11"/>
  <c r="K16" i="19" s="1"/>
  <c r="BU20" i="11"/>
  <c r="L16" i="19" s="1"/>
  <c r="BV20" i="11"/>
  <c r="M16" i="19" s="1"/>
  <c r="BR12" i="11"/>
  <c r="I8" i="19" s="1"/>
  <c r="BS12" i="11"/>
  <c r="J8" i="19" s="1"/>
  <c r="BT12" i="11"/>
  <c r="K8" i="19" s="1"/>
  <c r="BU12" i="11"/>
  <c r="L8" i="19" s="1"/>
  <c r="BV12" i="11"/>
  <c r="M8" i="19" s="1"/>
  <c r="BR11" i="11"/>
  <c r="I7" i="19" s="1"/>
  <c r="BS11" i="11"/>
  <c r="J7" i="19" s="1"/>
  <c r="BT11" i="11"/>
  <c r="K7" i="19" s="1"/>
  <c r="BU11" i="11"/>
  <c r="L7" i="19" s="1"/>
  <c r="BV11" i="11"/>
  <c r="M7" i="19" s="1"/>
  <c r="BR18" i="11"/>
  <c r="I14" i="19" s="1"/>
  <c r="BS18" i="11"/>
  <c r="J14" i="19" s="1"/>
  <c r="BT18" i="11"/>
  <c r="K14" i="19" s="1"/>
  <c r="BU18" i="11"/>
  <c r="L14" i="19" s="1"/>
  <c r="BV18" i="11"/>
  <c r="M14" i="19" s="1"/>
  <c r="BR19" i="11"/>
  <c r="I15" i="19" s="1"/>
  <c r="BS19" i="11"/>
  <c r="J15" i="19" s="1"/>
  <c r="BT19" i="11"/>
  <c r="K15" i="19" s="1"/>
  <c r="BU19" i="11"/>
  <c r="L15" i="19" s="1"/>
  <c r="BV19" i="11"/>
  <c r="M15" i="19" s="1"/>
  <c r="BR13" i="11"/>
  <c r="I9" i="19" s="1"/>
  <c r="BS13" i="11"/>
  <c r="J9" i="19" s="1"/>
  <c r="BT13" i="11"/>
  <c r="K9" i="19" s="1"/>
  <c r="BU13" i="11"/>
  <c r="L9" i="19" s="1"/>
  <c r="BV13" i="11"/>
  <c r="M9" i="19" s="1"/>
  <c r="BS16" i="11"/>
  <c r="J12" i="19" s="1"/>
  <c r="BT16" i="11"/>
  <c r="K12" i="19" s="1"/>
  <c r="BU16" i="11"/>
  <c r="L12" i="19" s="1"/>
  <c r="BV16" i="11"/>
  <c r="M12" i="19" s="1"/>
  <c r="BR16" i="11"/>
  <c r="I12" i="19" s="1"/>
  <c r="BO13" i="11"/>
  <c r="BP13" i="11" s="1"/>
  <c r="BQ13" i="11" s="1"/>
  <c r="BO19" i="11"/>
  <c r="BO18" i="11"/>
  <c r="BP18" i="11" s="1"/>
  <c r="BQ18" i="11" s="1"/>
  <c r="BO11" i="11"/>
  <c r="BP11" i="11" s="1"/>
  <c r="BQ11" i="11" s="1"/>
  <c r="BO12" i="11"/>
  <c r="BP12" i="11" s="1"/>
  <c r="BQ12" i="11" s="1"/>
  <c r="BO20" i="11"/>
  <c r="BP20" i="11" s="1"/>
  <c r="BQ20" i="11" s="1"/>
  <c r="BO15" i="11"/>
  <c r="BO17" i="11"/>
  <c r="BP17" i="11" s="1"/>
  <c r="BQ17" i="11" s="1"/>
  <c r="BO14" i="11"/>
  <c r="BP14" i="11" s="1"/>
  <c r="BQ14" i="11" s="1"/>
  <c r="BO16" i="11"/>
  <c r="BP16" i="11" s="1"/>
  <c r="BQ16" i="11" s="1"/>
  <c r="BG13" i="11"/>
  <c r="BH13" i="11" s="1"/>
  <c r="BI13" i="11" s="1"/>
  <c r="BG19" i="11"/>
  <c r="BG18" i="11"/>
  <c r="BH18" i="11" s="1"/>
  <c r="BI18" i="11" s="1"/>
  <c r="BG11" i="11"/>
  <c r="BH11" i="11" s="1"/>
  <c r="BI11" i="11" s="1"/>
  <c r="BG12" i="11"/>
  <c r="BG20" i="11"/>
  <c r="BG15" i="11"/>
  <c r="BG17" i="11"/>
  <c r="BH17" i="11" s="1"/>
  <c r="BI17" i="11" s="1"/>
  <c r="BG14" i="11"/>
  <c r="BH14" i="11" s="1"/>
  <c r="BI14" i="11" s="1"/>
  <c r="BG16" i="11"/>
  <c r="AY13" i="11"/>
  <c r="AZ13" i="11" s="1"/>
  <c r="BA13" i="11" s="1"/>
  <c r="AY19" i="11"/>
  <c r="AY18" i="11"/>
  <c r="AZ18" i="11" s="1"/>
  <c r="BA18" i="11" s="1"/>
  <c r="AY11" i="11"/>
  <c r="AZ11" i="11" s="1"/>
  <c r="BA11" i="11" s="1"/>
  <c r="AY12" i="11"/>
  <c r="AZ12" i="11" s="1"/>
  <c r="BA12" i="11" s="1"/>
  <c r="AY20" i="11"/>
  <c r="AZ20" i="11" s="1"/>
  <c r="BA20" i="11" s="1"/>
  <c r="AY15" i="11"/>
  <c r="AY17" i="11"/>
  <c r="AZ17" i="11" s="1"/>
  <c r="BA17" i="11" s="1"/>
  <c r="AY14" i="11"/>
  <c r="AZ14" i="11" s="1"/>
  <c r="BA14" i="11" s="1"/>
  <c r="AY16" i="11"/>
  <c r="AZ16" i="11" s="1"/>
  <c r="BA16" i="11" s="1"/>
  <c r="AR13" i="11"/>
  <c r="AS13" i="11" s="1"/>
  <c r="AR18" i="11"/>
  <c r="AS18" i="11" s="1"/>
  <c r="AR11" i="11"/>
  <c r="AS11" i="11" s="1"/>
  <c r="AR17" i="11"/>
  <c r="AS17" i="11" s="1"/>
  <c r="AR14" i="11"/>
  <c r="AS14" i="11" s="1"/>
  <c r="AI13" i="11"/>
  <c r="AJ13" i="11" s="1"/>
  <c r="AK13" i="11" s="1"/>
  <c r="AI19" i="11"/>
  <c r="AI18" i="11"/>
  <c r="AI11" i="11"/>
  <c r="AI12" i="11"/>
  <c r="AJ12" i="11" s="1"/>
  <c r="AK12" i="11" s="1"/>
  <c r="AI20" i="11"/>
  <c r="AJ20" i="11" s="1"/>
  <c r="AK20" i="11" s="1"/>
  <c r="AI15" i="11"/>
  <c r="AI17" i="11"/>
  <c r="AJ17" i="11" s="1"/>
  <c r="AK17" i="11" s="1"/>
  <c r="AI14" i="11"/>
  <c r="AI16" i="11"/>
  <c r="AJ16" i="11" s="1"/>
  <c r="AK16" i="11" s="1"/>
  <c r="AA13" i="11"/>
  <c r="AB13" i="11" s="1"/>
  <c r="AC13" i="11" s="1"/>
  <c r="AA19" i="11"/>
  <c r="AA18" i="11"/>
  <c r="AB18" i="11" s="1"/>
  <c r="AC18" i="11" s="1"/>
  <c r="AA11" i="11"/>
  <c r="AB11" i="11" s="1"/>
  <c r="AC11" i="11" s="1"/>
  <c r="AA12" i="11"/>
  <c r="AB12" i="11" s="1"/>
  <c r="AC12" i="11" s="1"/>
  <c r="AA20" i="11"/>
  <c r="AB20" i="11" s="1"/>
  <c r="AC20" i="11" s="1"/>
  <c r="AA15" i="11"/>
  <c r="AA17" i="11"/>
  <c r="AB17" i="11" s="1"/>
  <c r="AC17" i="11" s="1"/>
  <c r="AA14" i="11"/>
  <c r="AB14" i="11" s="1"/>
  <c r="AC14" i="11" s="1"/>
  <c r="AA16" i="11"/>
  <c r="AB16" i="11" s="1"/>
  <c r="AC16" i="11" s="1"/>
  <c r="S13" i="11"/>
  <c r="S19" i="11"/>
  <c r="S18" i="11"/>
  <c r="S11" i="11"/>
  <c r="T11" i="11" s="1"/>
  <c r="U11" i="11" s="1"/>
  <c r="S12" i="11"/>
  <c r="S20" i="11"/>
  <c r="S15" i="11"/>
  <c r="S17" i="11"/>
  <c r="S14" i="11"/>
  <c r="S16" i="11"/>
  <c r="K14" i="11"/>
  <c r="K17" i="11"/>
  <c r="K15" i="11"/>
  <c r="K20" i="11"/>
  <c r="K12" i="11"/>
  <c r="L12" i="11" s="1"/>
  <c r="M12" i="11" s="1"/>
  <c r="K18" i="11"/>
  <c r="K19" i="11"/>
  <c r="K13" i="11"/>
  <c r="L13" i="11" s="1"/>
  <c r="K16" i="11"/>
  <c r="AA9" i="11"/>
  <c r="AI9" i="11" s="1"/>
  <c r="AQ9" i="11" s="1"/>
  <c r="AY9" i="11" s="1"/>
  <c r="BG9" i="11" s="1"/>
  <c r="BO9" i="11" s="1"/>
  <c r="BW9" i="11" s="1"/>
  <c r="AB9" i="11"/>
  <c r="AJ9" i="11" s="1"/>
  <c r="AR9" i="11" s="1"/>
  <c r="AZ9" i="11" s="1"/>
  <c r="BH9" i="11" s="1"/>
  <c r="BP9" i="11" s="1"/>
  <c r="BX9" i="11" s="1"/>
  <c r="AC9" i="11"/>
  <c r="AK9" i="11" s="1"/>
  <c r="AS9" i="11" s="1"/>
  <c r="BA9" i="11" s="1"/>
  <c r="BI9" i="11" s="1"/>
  <c r="BQ9" i="11" s="1"/>
  <c r="BY9" i="11" s="1"/>
  <c r="P10" i="11"/>
  <c r="X10" i="11" s="1"/>
  <c r="AF10" i="11" s="1"/>
  <c r="AN10" i="11" s="1"/>
  <c r="AV10" i="11" s="1"/>
  <c r="BD10" i="11" s="1"/>
  <c r="BL10" i="11" s="1"/>
  <c r="BT10" i="11" s="1"/>
  <c r="Q10" i="11"/>
  <c r="Y10" i="11" s="1"/>
  <c r="AG10" i="11" s="1"/>
  <c r="AO10" i="11" s="1"/>
  <c r="AW10" i="11" s="1"/>
  <c r="BE10" i="11" s="1"/>
  <c r="BM10" i="11" s="1"/>
  <c r="BU10" i="11" s="1"/>
  <c r="R10" i="11"/>
  <c r="Z10" i="11" s="1"/>
  <c r="AH10" i="11" s="1"/>
  <c r="AP10" i="11" s="1"/>
  <c r="AX10" i="11" s="1"/>
  <c r="BF10" i="11" s="1"/>
  <c r="BN10" i="11" s="1"/>
  <c r="BV10" i="11" s="1"/>
  <c r="O10" i="11"/>
  <c r="W10" i="11" s="1"/>
  <c r="AE10" i="11" s="1"/>
  <c r="AM10" i="11" s="1"/>
  <c r="AU10" i="11" s="1"/>
  <c r="BC10" i="11" s="1"/>
  <c r="BK10" i="11" s="1"/>
  <c r="BS10" i="11" s="1"/>
  <c r="N10" i="11"/>
  <c r="V10" i="11" s="1"/>
  <c r="AD10" i="11" s="1"/>
  <c r="AL10" i="11" s="1"/>
  <c r="AT10" i="11" s="1"/>
  <c r="BB10" i="11" s="1"/>
  <c r="BJ10" i="11" s="1"/>
  <c r="BR10" i="11" s="1"/>
  <c r="A12" i="11"/>
  <c r="A13" i="11"/>
  <c r="A14" i="11"/>
  <c r="A15" i="11"/>
  <c r="A16" i="11"/>
  <c r="A17" i="11"/>
  <c r="A18" i="11"/>
  <c r="A19" i="11"/>
  <c r="A20" i="11"/>
  <c r="A11" i="11"/>
  <c r="J41" i="14"/>
  <c r="J4" i="14"/>
  <c r="J18" i="14"/>
  <c r="J36" i="14"/>
  <c r="J14" i="14"/>
  <c r="J7" i="14"/>
  <c r="J34" i="14"/>
  <c r="A3" i="14"/>
  <c r="J3" i="14"/>
  <c r="J5" i="14"/>
  <c r="J6" i="14"/>
  <c r="J9" i="14"/>
  <c r="J10" i="14"/>
  <c r="J11" i="14"/>
  <c r="J12" i="14"/>
  <c r="J13" i="14"/>
  <c r="J15" i="14"/>
  <c r="J16" i="14"/>
  <c r="J17" i="14"/>
  <c r="J19" i="14"/>
  <c r="J20" i="14"/>
  <c r="J21" i="14"/>
  <c r="J22" i="14"/>
  <c r="J23" i="14"/>
  <c r="J24" i="14"/>
  <c r="J25" i="14"/>
  <c r="J26" i="14"/>
  <c r="J27" i="14"/>
  <c r="J30" i="14"/>
  <c r="J31" i="14"/>
  <c r="J32" i="14"/>
  <c r="J33" i="14"/>
  <c r="J35" i="14"/>
  <c r="J37" i="14"/>
  <c r="J38" i="14"/>
  <c r="J39" i="14"/>
  <c r="J40" i="14"/>
  <c r="J28" i="14"/>
  <c r="J29" i="14"/>
  <c r="J8" i="14"/>
  <c r="B6" i="21" l="1"/>
  <c r="F18" i="21" s="1" a="1"/>
  <c r="F18" i="21" s="1"/>
  <c r="B19" i="11" a="1"/>
  <c r="B19" i="11" s="1"/>
  <c r="B20" i="11" a="1"/>
  <c r="B20" i="11" s="1"/>
  <c r="B16" i="11" a="1"/>
  <c r="B16" i="11" s="1"/>
  <c r="B12" i="11" a="1"/>
  <c r="B12" i="11" s="1"/>
  <c r="B11" i="11" a="1"/>
  <c r="B11" i="11" s="1"/>
  <c r="B15" i="11" a="1"/>
  <c r="B15" i="11" s="1"/>
  <c r="B18" i="11" a="1"/>
  <c r="B18" i="11" s="1"/>
  <c r="B13" i="11" a="1"/>
  <c r="B13" i="11" s="1"/>
  <c r="B14" i="11" a="1"/>
  <c r="B14" i="11" s="1"/>
  <c r="B17" i="11" a="1"/>
  <c r="B17" i="11" s="1"/>
  <c r="AJ18" i="11"/>
  <c r="AK18" i="11" s="1"/>
  <c r="AR20" i="11"/>
  <c r="AS20" i="11" s="1"/>
  <c r="BH19" i="11"/>
  <c r="BI19" i="11" s="1"/>
  <c r="T20" i="11"/>
  <c r="U20" i="11" s="1"/>
  <c r="AJ19" i="11"/>
  <c r="AK19" i="11" s="1"/>
  <c r="BH20" i="11"/>
  <c r="BI20" i="11" s="1"/>
  <c r="AZ19" i="11"/>
  <c r="BA19" i="11" s="1"/>
  <c r="AB19" i="11"/>
  <c r="AC19" i="11" s="1"/>
  <c r="BP19" i="11"/>
  <c r="BQ19" i="11" s="1"/>
  <c r="AR19" i="11"/>
  <c r="AS19" i="11" s="1"/>
  <c r="T18" i="11"/>
  <c r="U18" i="11" s="1"/>
  <c r="T19" i="11"/>
  <c r="U19" i="11" s="1"/>
  <c r="L20" i="11"/>
  <c r="M20" i="11" s="1"/>
  <c r="L18" i="11"/>
  <c r="M18" i="11" s="1"/>
  <c r="L19" i="11"/>
  <c r="M19" i="11" s="1"/>
  <c r="L17" i="11"/>
  <c r="M17" i="11" s="1"/>
  <c r="L16" i="11"/>
  <c r="M16" i="11" s="1"/>
  <c r="T14" i="11"/>
  <c r="U14" i="11" s="1"/>
  <c r="T13" i="11"/>
  <c r="U13" i="11" s="1"/>
  <c r="T16" i="11"/>
  <c r="U16" i="11" s="1"/>
  <c r="T17" i="11"/>
  <c r="U17" i="11" s="1"/>
  <c r="T15" i="11"/>
  <c r="U15" i="11" s="1"/>
  <c r="T12" i="11"/>
  <c r="U12" i="11" s="1"/>
  <c r="AB15" i="11"/>
  <c r="AC15" i="11" s="1"/>
  <c r="AJ14" i="11"/>
  <c r="AK14" i="11" s="1"/>
  <c r="AJ15" i="11"/>
  <c r="AK15" i="11" s="1"/>
  <c r="AR15" i="11"/>
  <c r="AS15" i="11" s="1"/>
  <c r="AR16" i="11"/>
  <c r="AS16" i="11" s="1"/>
  <c r="AR12" i="11"/>
  <c r="AS12" i="11" s="1"/>
  <c r="AZ15" i="11"/>
  <c r="BA15" i="11" s="1"/>
  <c r="BH16" i="11"/>
  <c r="BI16" i="11" s="1"/>
  <c r="BH12" i="11"/>
  <c r="BI12" i="11" s="1"/>
  <c r="BH15" i="11"/>
  <c r="BI15" i="11" s="1"/>
  <c r="BP15" i="11"/>
  <c r="BQ15" i="11" s="1"/>
  <c r="AJ11" i="11"/>
  <c r="AK11" i="11" s="1"/>
  <c r="L14" i="11"/>
  <c r="M14" i="11" s="1"/>
  <c r="E15" i="11"/>
  <c r="H11" i="19" s="1"/>
  <c r="L15" i="11"/>
  <c r="M15" i="11" s="1"/>
  <c r="M13" i="11"/>
  <c r="BW19" i="11"/>
  <c r="BW18" i="11"/>
  <c r="BW13" i="11"/>
  <c r="BW20" i="11"/>
  <c r="BW14" i="11"/>
  <c r="BW16" i="11"/>
  <c r="E16" i="11"/>
  <c r="H12" i="19" s="1"/>
  <c r="E13" i="11"/>
  <c r="H9" i="19" s="1"/>
  <c r="E19" i="11"/>
  <c r="H15" i="19" s="1"/>
  <c r="E18" i="11"/>
  <c r="H14" i="19" s="1"/>
  <c r="E20" i="11"/>
  <c r="H16" i="19" s="1"/>
  <c r="E14" i="11"/>
  <c r="BW11" i="11"/>
  <c r="BW12" i="11"/>
  <c r="BW15" i="11"/>
  <c r="BW17" i="11"/>
  <c r="E11" i="11"/>
  <c r="H7" i="19" s="1"/>
  <c r="E12" i="11"/>
  <c r="H8" i="19" s="1"/>
  <c r="E17" i="11"/>
  <c r="H13" i="19" s="1"/>
  <c r="D6" i="11" l="1"/>
  <c r="H10" i="19"/>
  <c r="I18" i="21"/>
  <c r="H19" i="21"/>
  <c r="J24" i="21"/>
  <c r="J19" i="21"/>
  <c r="G24" i="21"/>
  <c r="J23" i="21"/>
  <c r="I21" i="21"/>
  <c r="J22" i="21"/>
  <c r="F25" i="21"/>
  <c r="F19" i="21"/>
  <c r="G23" i="21"/>
  <c r="G18" i="21" a="1"/>
  <c r="G18" i="21" s="1"/>
  <c r="I22" i="21"/>
  <c r="G22" i="21"/>
  <c r="I23" i="21"/>
  <c r="H24" i="21"/>
  <c r="F21" i="21"/>
  <c r="I20" i="21"/>
  <c r="G20" i="21"/>
  <c r="F20" i="21"/>
  <c r="F24" i="21"/>
  <c r="G25" i="21"/>
  <c r="J25" i="21"/>
  <c r="H25" i="21"/>
  <c r="I25" i="21"/>
  <c r="H18" i="21" a="1"/>
  <c r="H18" i="21" s="1"/>
  <c r="G21" i="21"/>
  <c r="H22" i="21"/>
  <c r="J18" i="21"/>
  <c r="F22" i="21"/>
  <c r="I24" i="21"/>
  <c r="I19" i="21"/>
  <c r="J20" i="21"/>
  <c r="H23" i="21"/>
  <c r="H20" i="21"/>
  <c r="J21" i="21"/>
  <c r="F23" i="21"/>
  <c r="G19" i="21"/>
  <c r="H21" i="21"/>
  <c r="BX20" i="11"/>
  <c r="N16" i="19" s="1"/>
  <c r="BX18" i="11"/>
  <c r="N14" i="19" s="1"/>
  <c r="BX19" i="11"/>
  <c r="N15" i="19" s="1"/>
  <c r="BX11" i="11"/>
  <c r="N7" i="19" s="1"/>
  <c r="BX17" i="11"/>
  <c r="N13" i="19" s="1"/>
  <c r="BX14" i="11"/>
  <c r="N10" i="19" s="1"/>
  <c r="BX13" i="11"/>
  <c r="N9" i="19" s="1"/>
  <c r="BX12" i="11"/>
  <c r="BX15" i="11"/>
  <c r="BX16" i="11"/>
  <c r="K18" i="21" l="1"/>
  <c r="F26" i="21"/>
  <c r="K22" i="21"/>
  <c r="L22" i="21" s="1"/>
  <c r="N22" i="21" s="1"/>
  <c r="J26" i="21"/>
  <c r="K24" i="21"/>
  <c r="L24" i="21" s="1"/>
  <c r="N24" i="21" s="1"/>
  <c r="K20" i="21"/>
  <c r="L20" i="21" s="1"/>
  <c r="N20" i="21" s="1"/>
  <c r="G26" i="21"/>
  <c r="K23" i="21"/>
  <c r="L23" i="21" s="1"/>
  <c r="N23" i="21" s="1"/>
  <c r="H26" i="21"/>
  <c r="K19" i="21"/>
  <c r="L19" i="21" s="1"/>
  <c r="N19" i="21" s="1"/>
  <c r="K21" i="21"/>
  <c r="L21" i="21" s="1"/>
  <c r="N21" i="21" s="1"/>
  <c r="K25" i="21"/>
  <c r="L25" i="21" s="1"/>
  <c r="N25" i="21" s="1"/>
  <c r="I26" i="21"/>
  <c r="BZ12" i="11"/>
  <c r="P8" i="19" s="1"/>
  <c r="N8" i="19"/>
  <c r="BY20" i="11"/>
  <c r="O16" i="19" s="1"/>
  <c r="BZ16" i="11"/>
  <c r="P12" i="19" s="1"/>
  <c r="N12" i="19"/>
  <c r="BZ15" i="11"/>
  <c r="P11" i="19" s="1"/>
  <c r="N11" i="19"/>
  <c r="BY18" i="11"/>
  <c r="O14" i="19" s="1"/>
  <c r="BZ18" i="11"/>
  <c r="P14" i="19" s="1"/>
  <c r="BZ13" i="11"/>
  <c r="P9" i="19" s="1"/>
  <c r="BZ14" i="11"/>
  <c r="P10" i="19" s="1"/>
  <c r="BY11" i="11"/>
  <c r="O7" i="19" s="1"/>
  <c r="BZ11" i="11"/>
  <c r="P7" i="19" s="1"/>
  <c r="BZ17" i="11"/>
  <c r="P13" i="19" s="1"/>
  <c r="BZ19" i="11"/>
  <c r="P15" i="19" s="1"/>
  <c r="BZ20" i="11"/>
  <c r="P16" i="19" s="1"/>
  <c r="BY19" i="11"/>
  <c r="O15" i="19" s="1"/>
  <c r="BY12" i="11"/>
  <c r="O8" i="19" s="1"/>
  <c r="BY17" i="11"/>
  <c r="O13" i="19" s="1"/>
  <c r="BY15" i="11"/>
  <c r="O11" i="19" s="1"/>
  <c r="BY14" i="11"/>
  <c r="O10" i="19" s="1"/>
  <c r="BY13" i="11"/>
  <c r="O9" i="19" s="1"/>
  <c r="BY16" i="11"/>
  <c r="O12" i="19" s="1"/>
  <c r="M20" i="21" l="1"/>
  <c r="M22" i="21"/>
  <c r="M23" i="21"/>
  <c r="M21" i="21"/>
  <c r="M19" i="21"/>
  <c r="M24" i="21"/>
  <c r="M25" i="21"/>
  <c r="K26" i="21"/>
  <c r="L26" i="21" s="1"/>
  <c r="N26" i="21" s="1"/>
  <c r="L18" i="21"/>
  <c r="N18" i="21" s="1"/>
  <c r="I7" i="21"/>
  <c r="M26" i="21" l="1"/>
  <c r="M18" i="21"/>
</calcChain>
</file>

<file path=xl/sharedStrings.xml><?xml version="1.0" encoding="utf-8"?>
<sst xmlns="http://schemas.openxmlformats.org/spreadsheetml/2006/main" count="1121" uniqueCount="272">
  <si>
    <t>ระดับคะแนน</t>
  </si>
  <si>
    <t>1. ความรู้ความเชี่ยวชาญ ชำนาญในหัวข้อที่บรรยาย</t>
  </si>
  <si>
    <t>2. ความสามารถในการถ่ายทอดให้เกิดความเข้าใจ</t>
  </si>
  <si>
    <t>3. ความสามารถในการสร้างบรรยากาศที่สนับสนุนให้ผู้เข้าอบรมได้มีส่วนร่วม</t>
  </si>
  <si>
    <t>4. การใช้เวลาในการบรรยายอย่างเหมาะสม</t>
  </si>
  <si>
    <t>5. การเปิดโอกาสให้ซักถาม</t>
  </si>
  <si>
    <t>6. การตอบคำถามได้อย่างชัดเจนและตรงประเด็น</t>
  </si>
  <si>
    <t>7. เอกสารประกอบการอบรมช่วยส่งเสริมการเรียนรู้</t>
  </si>
  <si>
    <t>8. สื่อการสอนและอุปกรณ์ประกอบการอบรมมีความเหมาะสม</t>
  </si>
  <si>
    <t>ข้อ 1</t>
  </si>
  <si>
    <t>ข้อ 2</t>
  </si>
  <si>
    <t>ข้อ 3</t>
  </si>
  <si>
    <t>ข้อ 4</t>
  </si>
  <si>
    <t>ข้อ 5</t>
  </si>
  <si>
    <t>ข้อ 6</t>
  </si>
  <si>
    <t>ข้อ 7</t>
  </si>
  <si>
    <t>ข้อ 8</t>
  </si>
  <si>
    <t>ร่วม</t>
  </si>
  <si>
    <t>หัวข้อประเมินความพึงพอใจ</t>
  </si>
  <si>
    <t>ดีมาก
5</t>
  </si>
  <si>
    <t>ดี
4</t>
  </si>
  <si>
    <t>ปานกลาง
3</t>
  </si>
  <si>
    <t>พอใช้
2</t>
  </si>
  <si>
    <t>ปรับปรุง
1</t>
  </si>
  <si>
    <t>N</t>
  </si>
  <si>
    <t>X</t>
  </si>
  <si>
    <t>SD</t>
  </si>
  <si>
    <t xml:space="preserve">ค่าเฉลี่ยระหว่าง 4.50 - 5.00 </t>
  </si>
  <si>
    <t>หมายหถึง ระดับความพึงพอใจมากที่สุด</t>
  </si>
  <si>
    <t>ค่าเฉลี่ยระหว่าง 3.50 - 4.49</t>
  </si>
  <si>
    <t>ค่าเฉลี่ยระหว่าง 2.50 - 3.49</t>
  </si>
  <si>
    <t>ค่าเฉลี่ยระหว่าง 1.50 - 2.49</t>
  </si>
  <si>
    <t>ค่าเฉลี่ยระหว่าง 1.00 - 1.49</t>
  </si>
  <si>
    <t>หมายหถึง ระดับความพึงพอใจมาก</t>
  </si>
  <si>
    <t>หมายหถึง ระดับความพึงพอใจปานกลาง</t>
  </si>
  <si>
    <t>หมายหถึง ระดับความพึงพอใจน้อย</t>
  </si>
  <si>
    <t>หมายหถึง ระดับความพึงพอใจน้อยที่สุด</t>
  </si>
  <si>
    <t>#</t>
  </si>
  <si>
    <t>ชื่อ</t>
  </si>
  <si>
    <t>ตำแหน่ง</t>
  </si>
  <si>
    <t>ข้อมูลวิทยากรหลัก</t>
  </si>
  <si>
    <t>คำนำหน้า</t>
  </si>
  <si>
    <t>นามสกุล</t>
  </si>
  <si>
    <t>ระดับ</t>
  </si>
  <si>
    <t>สาขา/ศูนย์</t>
  </si>
  <si>
    <t>เบอร์ติดต่อ</t>
  </si>
  <si>
    <t>ชื่อและนามสกุล</t>
  </si>
  <si>
    <t>กมลวรรณ</t>
  </si>
  <si>
    <t>เชิดชาย</t>
  </si>
  <si>
    <t>ดุษฎี</t>
  </si>
  <si>
    <t>ธำรงค์</t>
  </si>
  <si>
    <t>นงนารถ</t>
  </si>
  <si>
    <t>บุญจฑา</t>
  </si>
  <si>
    <t>บุญฤทธิ์</t>
  </si>
  <si>
    <t>ปิ่นแก้ว</t>
  </si>
  <si>
    <t>พันธ์เทพ</t>
  </si>
  <si>
    <t>พัสกร</t>
  </si>
  <si>
    <t>พูลศักดิ์</t>
  </si>
  <si>
    <t>มนูญ</t>
  </si>
  <si>
    <t>มัลลิกา</t>
  </si>
  <si>
    <t>รุ่งรัศมิ์</t>
  </si>
  <si>
    <t>รุ่งเรือง</t>
  </si>
  <si>
    <t>วรรณี</t>
  </si>
  <si>
    <t>วันดี</t>
  </si>
  <si>
    <t>วันมงคล</t>
  </si>
  <si>
    <t>วารี</t>
  </si>
  <si>
    <t>วาสนา</t>
  </si>
  <si>
    <t>ศศธร</t>
  </si>
  <si>
    <t>สมชาย</t>
  </si>
  <si>
    <t>สมพงษ์</t>
  </si>
  <si>
    <t>สุพจน์</t>
  </si>
  <si>
    <t>สุรพงษ์</t>
  </si>
  <si>
    <t>อนันต์ชัย</t>
  </si>
  <si>
    <t>อัครเดช</t>
  </si>
  <si>
    <t>อานนท์</t>
  </si>
  <si>
    <t>อำนาจ</t>
  </si>
  <si>
    <t>วิชัย</t>
  </si>
  <si>
    <t>วิไล</t>
  </si>
  <si>
    <t>ธัชพล</t>
  </si>
  <si>
    <t>ระดับความ
พึงพอใจ</t>
  </si>
  <si>
    <t xml:space="preserve">ชื่อวิทยากร </t>
  </si>
  <si>
    <t>คน</t>
  </si>
  <si>
    <t>เกณฑ์คะแนน</t>
  </si>
  <si>
    <t>ภาพรวมคะแนน</t>
  </si>
  <si>
    <t>ถนอม</t>
  </si>
  <si>
    <t>พงศ์ศักดิ์</t>
  </si>
  <si>
    <t>เสาวนีย์</t>
  </si>
  <si>
    <t>ไฟโรจน์</t>
  </si>
  <si>
    <t>เกษม</t>
  </si>
  <si>
    <t>ชื่อวิทยากร</t>
  </si>
  <si>
    <t>รายการหัวข้อจากแบบประเมิน</t>
  </si>
  <si>
    <t>จำนวนวิทยากรทั้งหมด</t>
  </si>
  <si>
    <t>ท่าน</t>
  </si>
  <si>
    <t>จำนวน
แบบสอบถาม</t>
  </si>
  <si>
    <t>ระดับ
ความพอใจ</t>
  </si>
  <si>
    <t>ใบ</t>
  </si>
  <si>
    <t>หัวข้อประเมิน</t>
  </si>
  <si>
    <t>ความรู้ความเชี่ยวชาญ ชำนาญในหัวข้อที่บรรยาย</t>
  </si>
  <si>
    <t>ความสามารถในการถ่ายทอดให้เกิดความเข้าใจ</t>
  </si>
  <si>
    <t>ความสามารถในการสร้างบรรยากาศที่สนับสนุนให้ผู้เข้าอบรมได้มีส่วนร่วม</t>
  </si>
  <si>
    <t>การใช้เวลาในการบรรยายอย่างเหมาะสม</t>
  </si>
  <si>
    <t>การเปิดโอกาสให้ซักถาม</t>
  </si>
  <si>
    <t>การตอบคำถามได้อย่างชัดเจนและตรงประเด็น</t>
  </si>
  <si>
    <t>เอกสารประกอบการอบรมช่วยส่งเสริมการเรียนรู้</t>
  </si>
  <si>
    <t>สื่อการสอนและอุปกรณ์ประกอบการอบรมมีความเหมาะสม</t>
  </si>
  <si>
    <t>สรุปแบบประเมินผลความพึงพอใจวิทยากร จากการจัดอบรมขอรับและขอต่อใบอนุญาตประกันวินาศภัย</t>
  </si>
  <si>
    <t>ความคิดเห็น 1</t>
  </si>
  <si>
    <t>ข้อเสนอแนะ</t>
  </si>
  <si>
    <t>ความคิดเห็น 2</t>
  </si>
  <si>
    <t>ความคิดเห็น 3</t>
  </si>
  <si>
    <t>ความคิดเห็น 4</t>
  </si>
  <si>
    <t>ความคิดเห็น 5</t>
  </si>
  <si>
    <t>ข้อเสนอแนะเพิ่มเติม</t>
  </si>
  <si>
    <t>ความคิดเห็น 6</t>
  </si>
  <si>
    <t>ความคิดเห็น 7</t>
  </si>
  <si>
    <t>ความคิดเห็น 8</t>
  </si>
  <si>
    <t>ความคิดเห็น 9</t>
  </si>
  <si>
    <t>ความคิดเห็น 10</t>
  </si>
  <si>
    <t>จำนวนผู้ทำแบบสอบถามทั้งหมด</t>
  </si>
  <si>
    <t>รหัสแบบสอบถาม</t>
  </si>
  <si>
    <t>เลขที่แบบสอบถาม</t>
  </si>
  <si>
    <t>ประเภทแบบสอบถาม</t>
  </si>
  <si>
    <t>ขอต่อใบอนุญาตตัวแทนประกันวินาศภัยครั้งที่ 4</t>
  </si>
  <si>
    <t>วันที่เริ่มทำแบบสอบถาม</t>
  </si>
  <si>
    <t>วันที่สิ้นสุดการทำแบบสอบถาม</t>
  </si>
  <si>
    <t>รหัสวิทยากร</t>
  </si>
  <si>
    <t>ค่าเฉลี่ย 
X</t>
  </si>
  <si>
    <t>ส่วนเบี่ยงเบนมาตราฐาน 
SD</t>
  </si>
  <si>
    <t>หัวข้อบรรยาย</t>
  </si>
  <si>
    <t>VIR0001</t>
  </si>
  <si>
    <t>VIR0002</t>
  </si>
  <si>
    <t>VIR0003</t>
  </si>
  <si>
    <t>VIR0004</t>
  </si>
  <si>
    <t>VIR0005</t>
  </si>
  <si>
    <t>VIR0006</t>
  </si>
  <si>
    <t>VIR0007</t>
  </si>
  <si>
    <t>VIR0008</t>
  </si>
  <si>
    <t>VIR0009</t>
  </si>
  <si>
    <t>VIR0010</t>
  </si>
  <si>
    <t>VIR0011</t>
  </si>
  <si>
    <t>VIR0012</t>
  </si>
  <si>
    <t>VIR0013</t>
  </si>
  <si>
    <t>VIR0014</t>
  </si>
  <si>
    <t>VIR0015</t>
  </si>
  <si>
    <t>VIR0016</t>
  </si>
  <si>
    <t>VIR0017</t>
  </si>
  <si>
    <t>VIR0018</t>
  </si>
  <si>
    <t>VIR0019</t>
  </si>
  <si>
    <t>VIR0020</t>
  </si>
  <si>
    <t>VIR0021</t>
  </si>
  <si>
    <t>VIR0022</t>
  </si>
  <si>
    <t>VIR0023</t>
  </si>
  <si>
    <t>VIR0024</t>
  </si>
  <si>
    <t>VIR0025</t>
  </si>
  <si>
    <t>VIR0026</t>
  </si>
  <si>
    <t>VIR0027</t>
  </si>
  <si>
    <t>VIR0028</t>
  </si>
  <si>
    <t>VIR0029</t>
  </si>
  <si>
    <t>VIR0030</t>
  </si>
  <si>
    <t>VIR0031</t>
  </si>
  <si>
    <t>VIR0032</t>
  </si>
  <si>
    <t>VIR0033</t>
  </si>
  <si>
    <t>VIR0034</t>
  </si>
  <si>
    <t>VIR0035</t>
  </si>
  <si>
    <t>VIR0036</t>
  </si>
  <si>
    <t>VIR0037</t>
  </si>
  <si>
    <t>VIR0038</t>
  </si>
  <si>
    <t>VIR0039</t>
  </si>
  <si>
    <t>วันที่ทำแบบสอบถาม</t>
  </si>
  <si>
    <t>ชื่อแบบ
สอบถาม</t>
  </si>
  <si>
    <t>วันที่
ทำแบบสอบถาม</t>
  </si>
  <si>
    <t>เลขที่
แบบสอบถาม</t>
  </si>
  <si>
    <t>ชื่อ
วิทยากร</t>
  </si>
  <si>
    <t>ระดับคะแนน
สรุป 5</t>
  </si>
  <si>
    <t>ระดับคะแนน 
สรุป 4</t>
  </si>
  <si>
    <t>ระดับคะแนน 
สรุป 3</t>
  </si>
  <si>
    <t>ระดับคะแนน 
สรุป 2</t>
  </si>
  <si>
    <t>ระดับคะแนน 
สรุป 1</t>
  </si>
  <si>
    <t>ชื่อหลักสูตร</t>
  </si>
  <si>
    <t>ระดับความพอใจ</t>
  </si>
  <si>
    <t>ข้อมูลวิชาบรรยาย</t>
  </si>
  <si>
    <t>รหัสประเภทวิชา</t>
  </si>
  <si>
    <t>ชื่อประเภท</t>
  </si>
  <si>
    <t>รหัสวิชา</t>
  </si>
  <si>
    <t>ชื่อวิชา</t>
  </si>
  <si>
    <t>Column1</t>
  </si>
  <si>
    <t>Column2</t>
  </si>
  <si>
    <t>ความเห็น 1</t>
  </si>
  <si>
    <t>ความเห็น 2</t>
  </si>
  <si>
    <t>ความเห็น 3</t>
  </si>
  <si>
    <t>ความเห็น 4</t>
  </si>
  <si>
    <t>ความเห็น 5</t>
  </si>
  <si>
    <t>ความเห็น 6</t>
  </si>
  <si>
    <t>ความเห็น 7</t>
  </si>
  <si>
    <t>ความเห็น 8</t>
  </si>
  <si>
    <t>ความเห็น 9</t>
  </si>
  <si>
    <t>ความเห็น 10</t>
  </si>
  <si>
    <t>รหัสภาค</t>
  </si>
  <si>
    <t>สถานที่อบรม</t>
  </si>
  <si>
    <t>ชื่อภาค</t>
  </si>
  <si>
    <t>รหัสสถานที่</t>
  </si>
  <si>
    <t>ชื่อสถานที่</t>
  </si>
  <si>
    <t xml:space="preserve">ตาราง ค่าเฉลี่ยและส่วนเบี่ยงเบนมาตรฐานของความคิดเห็นเกี่ยวกับความพึงพอใจต่อวิทยากรบรรยาย </t>
  </si>
  <si>
    <t>ตาราง ค่าเฉลี่ยและส่วนเบี่ยงเบนมาตรฐาน สรุปผลคำนวณวิทยากรบรรยายจากทุกหลักสูตรทั้งหมด</t>
  </si>
  <si>
    <t>วันที่บรรยาย</t>
  </si>
  <si>
    <t>จำนวนแบบสอบถาม</t>
  </si>
  <si>
    <t>อ้อ</t>
  </si>
  <si>
    <t/>
  </si>
  <si>
    <t>ดี</t>
  </si>
  <si>
    <t>จรรยาบรรณประกันภัย</t>
  </si>
  <si>
    <t>หลักการประกันภัย</t>
  </si>
  <si>
    <t>จรรยาบรรณตัวแทน</t>
  </si>
  <si>
    <t>เทคนิคการขายประกันภัย</t>
  </si>
  <si>
    <t>การจูงใจและจิตวิทยาการขาย</t>
  </si>
  <si>
    <t>ประกันอัคคีภัย</t>
  </si>
  <si>
    <t>ประกันภัยเบ็ดเตล็ด</t>
  </si>
  <si>
    <t>แนวโน้มประกันวินาศภัย</t>
  </si>
  <si>
    <t>อุบัติเหตุและความเสี่ยงภัย</t>
  </si>
  <si>
    <t>ประกันภัยจักวาลและหลุมอวกาศ</t>
  </si>
  <si>
    <t>ตาราง คะแนประเมินผลความพึงพอใจวิทยากร จากการบรรยาย</t>
  </si>
  <si>
    <t>ทดสอบ01</t>
  </si>
  <si>
    <t>ทดสอบ02</t>
  </si>
  <si>
    <t>ทดสอบ03</t>
  </si>
  <si>
    <t>ทดสอบ04</t>
  </si>
  <si>
    <t>ทดสอบ05</t>
  </si>
  <si>
    <t>ทดสอบ06</t>
  </si>
  <si>
    <t>ทดสอบ07</t>
  </si>
  <si>
    <t>ทดสอบ08</t>
  </si>
  <si>
    <t>ทดสอบ09</t>
  </si>
  <si>
    <t>ทดสอบ10</t>
  </si>
  <si>
    <t>ทดสอบ11</t>
  </si>
  <si>
    <t>ทดสอบ12</t>
  </si>
  <si>
    <t>ทดสอบ13</t>
  </si>
  <si>
    <t>ทดสอบ14</t>
  </si>
  <si>
    <t>ทดสอบ15</t>
  </si>
  <si>
    <t>ทดสอบ16</t>
  </si>
  <si>
    <t>ทดสอบ17</t>
  </si>
  <si>
    <t>ทดสอบ18</t>
  </si>
  <si>
    <t>ทดสอบ19</t>
  </si>
  <si>
    <t>ทดสอบ20</t>
  </si>
  <si>
    <t>ทดสอบ21</t>
  </si>
  <si>
    <t>ทดสอบ22</t>
  </si>
  <si>
    <t>ทดสอบ23</t>
  </si>
  <si>
    <t>ทดสอบ24</t>
  </si>
  <si>
    <t>ทดสอบ25</t>
  </si>
  <si>
    <t>ทดสอบ26</t>
  </si>
  <si>
    <t>ทดสอบ27</t>
  </si>
  <si>
    <t>ทดสอบ28</t>
  </si>
  <si>
    <t>ทดสอบ29</t>
  </si>
  <si>
    <t>ทดสอบ30</t>
  </si>
  <si>
    <t>ทดสอบ31</t>
  </si>
  <si>
    <t>ทดสอบ32</t>
  </si>
  <si>
    <t>ทดสอบ33</t>
  </si>
  <si>
    <t>ทดสอบ34</t>
  </si>
  <si>
    <t>ทดสอบ35</t>
  </si>
  <si>
    <t>ทดสอบ36</t>
  </si>
  <si>
    <t>ทดสอบ37</t>
  </si>
  <si>
    <t>ทดสอบ38</t>
  </si>
  <si>
    <t>ทดสอบ39</t>
  </si>
  <si>
    <t>คุณกมลวรรณ ทดสอบ01</t>
  </si>
  <si>
    <t>คุณเกษม ทดสอบ02</t>
  </si>
  <si>
    <t>คุณเชิดชาย ทดสอบ03</t>
  </si>
  <si>
    <t>คุณนงนารถ ทดสอบ08</t>
  </si>
  <si>
    <t>คุณวารี ทดสอบ24</t>
  </si>
  <si>
    <t>คุณธัชพล ทดสอบ06</t>
  </si>
  <si>
    <t>คุณศศธร ทดสอบ28</t>
  </si>
  <si>
    <t>คุณอ้อ ทดสอบ39</t>
  </si>
  <si>
    <t>คุณอนันต์ชัย ทดสอบ35</t>
  </si>
  <si>
    <t>คุณพูลศักดิ์ ทดสอบ15</t>
  </si>
  <si>
    <t>ชั้น 4 ห้อง 4 สำนักงานใหญ่</t>
  </si>
  <si>
    <t>ชื่อหลักสูตร ขอต่อใบอนุญาตตัวแทนประกันวินาศภัยครั้งที่ 4</t>
  </si>
  <si>
    <t>ดีมาก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</si>
</sst>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7" formatCode="[$-1070000]d/mm/yyyy;@"/>
    <numFmt numFmtId="188" formatCode="0000"/>
    <numFmt numFmtId="189" formatCode="0;;"/>
  </numFmts>
  <fonts count="19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4"/>
      <name val="EucrosiaUPC"/>
      <family val="1"/>
      <charset val="222"/>
    </font>
    <font>
      <sz val="14"/>
      <name val="Angsana New"/>
      <family val="1"/>
    </font>
    <font>
      <b/>
      <sz val="14"/>
      <name val="Angsana New"/>
      <family val="1"/>
    </font>
    <font>
      <sz val="16"/>
      <color theme="1"/>
      <name val="Angsana New"/>
      <family val="1"/>
    </font>
    <font>
      <sz val="11"/>
      <color theme="1"/>
      <name val="Angsana New"/>
      <family val="1"/>
    </font>
    <font>
      <b/>
      <sz val="16"/>
      <name val="Angsana New"/>
      <family val="1"/>
    </font>
    <font>
      <sz val="16"/>
      <color theme="1"/>
      <name val="FreesiaUPC"/>
      <family val="2"/>
      <charset val="222"/>
    </font>
    <font>
      <sz val="16"/>
      <color theme="1"/>
      <name val="Angsana New"/>
      <family val="1"/>
    </font>
    <font>
      <b/>
      <sz val="16"/>
      <name val="FreesiaUPC"/>
      <family val="2"/>
      <charset val="222"/>
    </font>
    <font>
      <sz val="16"/>
      <name val="FreesiaUPC"/>
      <family val="2"/>
      <charset val="222"/>
    </font>
    <font>
      <sz val="16"/>
      <color theme="1"/>
      <name val="FreesiaUPC"/>
      <family val="2"/>
    </font>
    <font>
      <b/>
      <sz val="16"/>
      <name val="FreesiaUPC"/>
      <family val="2"/>
    </font>
    <font>
      <sz val="16"/>
      <name val="FreesiaUPC"/>
      <family val="2"/>
    </font>
    <font>
      <b/>
      <sz val="16"/>
      <color indexed="12"/>
      <name val="FreesiaUPC"/>
      <family val="2"/>
    </font>
    <font>
      <b/>
      <sz val="16"/>
      <color theme="1"/>
      <name val="FreesiaUPC"/>
      <family val="2"/>
      <charset val="222"/>
    </font>
    <font>
      <sz val="11"/>
      <color rgb="FF000000"/>
      <name val="Tahoma"/>
      <family val="2"/>
    </font>
    <font>
      <sz val="1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0">
    <xf numFmtId="0" fontId="0" fillId="0" borderId="0" xfId="0"/>
    <xf numFmtId="0" fontId="3" fillId="0" borderId="0" xfId="1" applyFont="1" applyFill="1"/>
    <xf numFmtId="0" fontId="8" fillId="0" borderId="0" xfId="0" applyFont="1" applyBorder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2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left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2" fontId="10" fillId="0" borderId="0" xfId="1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/>
    </xf>
    <xf numFmtId="0" fontId="11" fillId="0" borderId="0" xfId="6" applyFont="1" applyBorder="1" applyAlignment="1">
      <alignment horizontal="left" vertical="center"/>
    </xf>
    <xf numFmtId="0" fontId="8" fillId="0" borderId="0" xfId="0" applyFont="1"/>
    <xf numFmtId="0" fontId="11" fillId="0" borderId="0" xfId="1" applyNumberFormat="1" applyFont="1" applyFill="1" applyBorder="1" applyAlignment="1">
      <alignment horizontal="center" vertical="center"/>
    </xf>
    <xf numFmtId="0" fontId="11" fillId="0" borderId="0" xfId="6" applyNumberFormat="1" applyFont="1" applyBorder="1" applyAlignment="1">
      <alignment horizontal="center" vertical="center"/>
    </xf>
    <xf numFmtId="0" fontId="8" fillId="0" borderId="0" xfId="0" applyNumberFormat="1" applyFont="1" applyBorder="1" applyAlignment="1" applyProtection="1">
      <alignment horizontal="center" vertical="center"/>
      <protection locked="0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left"/>
    </xf>
    <xf numFmtId="2" fontId="8" fillId="0" borderId="0" xfId="0" applyNumberFormat="1" applyFon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NumberFormat="1" applyFont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Fill="1" applyBorder="1" applyAlignment="1" applyProtection="1">
      <alignment horizontal="center" vertical="center"/>
      <protection locked="0"/>
    </xf>
    <xf numFmtId="1" fontId="11" fillId="0" borderId="0" xfId="6" applyNumberFormat="1" applyFont="1" applyBorder="1" applyAlignment="1">
      <alignment horizontal="center" vertical="center"/>
    </xf>
    <xf numFmtId="1" fontId="8" fillId="0" borderId="0" xfId="0" applyNumberFormat="1" applyFont="1" applyBorder="1" applyAlignment="1" applyProtection="1">
      <alignment horizontal="center" vertical="center"/>
      <protection locked="0"/>
    </xf>
    <xf numFmtId="2" fontId="8" fillId="0" borderId="0" xfId="0" applyNumberFormat="1" applyFont="1" applyBorder="1" applyAlignment="1">
      <alignment horizontal="center"/>
    </xf>
    <xf numFmtId="1" fontId="10" fillId="0" borderId="0" xfId="1" applyNumberFormat="1" applyFont="1" applyFill="1" applyBorder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1" fontId="8" fillId="0" borderId="7" xfId="0" applyNumberFormat="1" applyFont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 applyProtection="1">
      <alignment horizontal="center"/>
      <protection locked="0"/>
    </xf>
    <xf numFmtId="1" fontId="11" fillId="0" borderId="1" xfId="6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2" fontId="8" fillId="0" borderId="1" xfId="0" applyNumberFormat="1" applyFont="1" applyFill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" fontId="8" fillId="0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2" fontId="8" fillId="2" borderId="1" xfId="0" applyNumberFormat="1" applyFont="1" applyFill="1" applyBorder="1" applyAlignment="1" applyProtection="1">
      <alignment horizontal="center"/>
    </xf>
    <xf numFmtId="2" fontId="8" fillId="2" borderId="7" xfId="0" applyNumberFormat="1" applyFont="1" applyFill="1" applyBorder="1" applyAlignment="1" applyProtection="1">
      <alignment horizont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 applyProtection="1">
      <alignment horizontal="center"/>
    </xf>
    <xf numFmtId="2" fontId="8" fillId="3" borderId="7" xfId="0" applyNumberFormat="1" applyFont="1" applyFill="1" applyBorder="1" applyAlignment="1" applyProtection="1">
      <alignment horizontal="center"/>
    </xf>
    <xf numFmtId="2" fontId="8" fillId="3" borderId="1" xfId="0" applyNumberFormat="1" applyFont="1" applyFill="1" applyBorder="1" applyAlignment="1">
      <alignment horizontal="center" vertical="center"/>
    </xf>
    <xf numFmtId="0" fontId="12" fillId="0" borderId="0" xfId="0" applyFont="1"/>
    <xf numFmtId="2" fontId="8" fillId="3" borderId="1" xfId="0" applyNumberFormat="1" applyFont="1" applyFill="1" applyBorder="1" applyAlignment="1">
      <alignment horizontal="center" vertical="center"/>
    </xf>
    <xf numFmtId="0" fontId="8" fillId="0" borderId="7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center" vertical="center"/>
    </xf>
    <xf numFmtId="2" fontId="8" fillId="0" borderId="0" xfId="0" applyNumberFormat="1" applyFont="1" applyBorder="1" applyAlignment="1" applyProtection="1">
      <alignment vertical="center"/>
    </xf>
    <xf numFmtId="2" fontId="8" fillId="0" borderId="0" xfId="0" applyNumberFormat="1" applyFont="1" applyAlignment="1" applyProtection="1">
      <alignment horizontal="center"/>
    </xf>
    <xf numFmtId="2" fontId="8" fillId="0" borderId="0" xfId="0" applyNumberFormat="1" applyFont="1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88" fontId="8" fillId="0" borderId="0" xfId="0" applyNumberFormat="1" applyFont="1" applyBorder="1" applyAlignment="1" applyProtection="1">
      <alignment vertical="center"/>
    </xf>
    <xf numFmtId="1" fontId="3" fillId="0" borderId="1" xfId="6" applyNumberFormat="1" applyFont="1" applyFill="1" applyBorder="1" applyAlignment="1" applyProtection="1">
      <alignment horizontal="center" vertical="center"/>
    </xf>
    <xf numFmtId="1" fontId="4" fillId="0" borderId="1" xfId="6" applyNumberFormat="1" applyFont="1" applyFill="1" applyBorder="1" applyAlignment="1" applyProtection="1">
      <alignment horizontal="center" vertical="center"/>
    </xf>
    <xf numFmtId="0" fontId="13" fillId="0" borderId="5" xfId="6" applyFont="1" applyFill="1" applyBorder="1" applyAlignment="1" applyProtection="1">
      <alignment horizontal="center" vertical="center" wrapText="1"/>
    </xf>
    <xf numFmtId="2" fontId="13" fillId="0" borderId="6" xfId="6" applyNumberFormat="1" applyFont="1" applyFill="1" applyBorder="1" applyAlignment="1" applyProtection="1">
      <alignment horizontal="center" vertical="center" wrapText="1"/>
    </xf>
    <xf numFmtId="0" fontId="13" fillId="0" borderId="6" xfId="6" applyFont="1" applyFill="1" applyBorder="1" applyAlignment="1" applyProtection="1">
      <alignment horizontal="center" vertical="center" wrapText="1"/>
    </xf>
    <xf numFmtId="1" fontId="13" fillId="0" borderId="1" xfId="6" applyNumberFormat="1" applyFont="1" applyFill="1" applyBorder="1" applyAlignment="1" applyProtection="1">
      <alignment horizontal="center" vertical="center"/>
    </xf>
    <xf numFmtId="2" fontId="13" fillId="0" borderId="1" xfId="6" applyNumberFormat="1" applyFont="1" applyFill="1" applyBorder="1" applyAlignment="1" applyProtection="1">
      <alignment horizontal="center" vertical="center"/>
    </xf>
    <xf numFmtId="0" fontId="14" fillId="0" borderId="1" xfId="6" applyFont="1" applyFill="1" applyBorder="1" applyAlignment="1" applyProtection="1">
      <alignment horizontal="center" vertical="center"/>
    </xf>
    <xf numFmtId="2" fontId="8" fillId="0" borderId="0" xfId="0" applyNumberFormat="1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left" vertical="center"/>
    </xf>
    <xf numFmtId="189" fontId="12" fillId="0" borderId="0" xfId="0" applyNumberFormat="1" applyFont="1" applyBorder="1" applyAlignment="1" applyProtection="1">
      <alignment horizontal="left" vertical="center"/>
    </xf>
    <xf numFmtId="1" fontId="12" fillId="0" borderId="0" xfId="0" applyNumberFormat="1" applyFont="1" applyBorder="1" applyAlignment="1" applyProtection="1">
      <alignment horizontal="left" vertical="center"/>
    </xf>
    <xf numFmtId="188" fontId="12" fillId="0" borderId="0" xfId="0" applyNumberFormat="1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center"/>
    </xf>
    <xf numFmtId="2" fontId="12" fillId="0" borderId="0" xfId="0" applyNumberFormat="1" applyFont="1" applyAlignment="1" applyProtection="1">
      <alignment horizontal="center"/>
    </xf>
    <xf numFmtId="0" fontId="12" fillId="0" borderId="0" xfId="0" applyFont="1" applyProtection="1"/>
    <xf numFmtId="2" fontId="12" fillId="0" borderId="0" xfId="0" applyNumberFormat="1" applyFont="1" applyBorder="1" applyAlignment="1" applyProtection="1">
      <alignment horizontal="left" vertical="center"/>
    </xf>
    <xf numFmtId="2" fontId="12" fillId="0" borderId="0" xfId="0" applyNumberFormat="1" applyFont="1" applyBorder="1" applyAlignment="1" applyProtection="1">
      <alignment horizontal="center" vertical="center"/>
    </xf>
    <xf numFmtId="2" fontId="12" fillId="0" borderId="0" xfId="0" applyNumberFormat="1" applyFont="1" applyBorder="1" applyAlignment="1" applyProtection="1">
      <alignment vertical="center"/>
    </xf>
    <xf numFmtId="189" fontId="12" fillId="0" borderId="0" xfId="0" applyNumberFormat="1" applyFont="1" applyAlignment="1" applyProtection="1">
      <alignment horizontal="left"/>
    </xf>
    <xf numFmtId="0" fontId="12" fillId="0" borderId="0" xfId="0" applyFont="1" applyAlignment="1" applyProtection="1">
      <alignment horizontal="left"/>
    </xf>
    <xf numFmtId="187" fontId="12" fillId="0" borderId="0" xfId="0" applyNumberFormat="1" applyFont="1" applyBorder="1" applyAlignment="1" applyProtection="1">
      <alignment horizontal="left" vertical="center"/>
    </xf>
    <xf numFmtId="187" fontId="12" fillId="0" borderId="0" xfId="0" applyNumberFormat="1" applyFont="1" applyBorder="1" applyAlignment="1" applyProtection="1">
      <alignment horizontal="center" vertical="center"/>
    </xf>
    <xf numFmtId="189" fontId="12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187" fontId="12" fillId="0" borderId="0" xfId="0" applyNumberFormat="1" applyFont="1" applyAlignment="1" applyProtection="1">
      <alignment horizontal="center" vertical="center" wrapText="1"/>
    </xf>
    <xf numFmtId="1" fontId="12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2" fontId="12" fillId="0" borderId="0" xfId="0" applyNumberFormat="1" applyFont="1" applyAlignment="1" applyProtection="1">
      <alignment horizontal="center" vertical="center"/>
    </xf>
    <xf numFmtId="188" fontId="12" fillId="0" borderId="0" xfId="0" applyNumberFormat="1" applyFont="1" applyAlignment="1" applyProtection="1">
      <alignment horizontal="center"/>
    </xf>
    <xf numFmtId="188" fontId="12" fillId="0" borderId="0" xfId="0" applyNumberFormat="1" applyFont="1" applyAlignment="1" applyProtection="1">
      <alignment horizontal="center" vertical="center"/>
    </xf>
    <xf numFmtId="187" fontId="12" fillId="0" borderId="0" xfId="0" applyNumberFormat="1" applyFont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" fontId="12" fillId="0" borderId="0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189" fontId="12" fillId="0" borderId="0" xfId="0" applyNumberFormat="1" applyFont="1" applyAlignment="1" applyProtection="1">
      <alignment horizontal="center"/>
    </xf>
    <xf numFmtId="187" fontId="12" fillId="0" borderId="0" xfId="0" applyNumberFormat="1" applyFont="1" applyAlignment="1" applyProtection="1">
      <alignment horizontal="center"/>
    </xf>
    <xf numFmtId="1" fontId="15" fillId="0" borderId="0" xfId="6" applyNumberFormat="1" applyFont="1" applyFill="1" applyBorder="1" applyAlignment="1" applyProtection="1">
      <alignment horizontal="center"/>
    </xf>
    <xf numFmtId="0" fontId="13" fillId="0" borderId="0" xfId="6" applyFont="1" applyBorder="1" applyAlignment="1">
      <alignment horizontal="left" vertical="center"/>
    </xf>
    <xf numFmtId="0" fontId="13" fillId="0" borderId="0" xfId="6" applyFont="1" applyBorder="1" applyAlignment="1" applyProtection="1">
      <alignment horizontal="left" vertical="center"/>
    </xf>
    <xf numFmtId="0" fontId="14" fillId="0" borderId="0" xfId="1" applyFont="1" applyFill="1" applyAlignment="1" applyProtection="1">
      <alignment horizontal="left" vertical="center"/>
    </xf>
    <xf numFmtId="0" fontId="14" fillId="0" borderId="0" xfId="1" applyFont="1" applyFill="1" applyProtection="1"/>
    <xf numFmtId="2" fontId="14" fillId="0" borderId="0" xfId="1" applyNumberFormat="1" applyFont="1" applyFill="1" applyProtection="1"/>
    <xf numFmtId="0" fontId="13" fillId="0" borderId="0" xfId="1" applyFont="1" applyAlignment="1" applyProtection="1">
      <alignment horizontal="center" vertical="center"/>
    </xf>
    <xf numFmtId="0" fontId="13" fillId="0" borderId="0" xfId="1" applyFont="1" applyAlignment="1" applyProtection="1">
      <alignment vertical="center"/>
    </xf>
    <xf numFmtId="0" fontId="13" fillId="0" borderId="0" xfId="1" applyFont="1" applyAlignment="1" applyProtection="1">
      <alignment horizontal="left" vertical="center"/>
    </xf>
    <xf numFmtId="2" fontId="13" fillId="0" borderId="0" xfId="1" applyNumberFormat="1" applyFont="1" applyAlignment="1" applyProtection="1">
      <alignment horizontal="left" vertical="center"/>
    </xf>
    <xf numFmtId="2" fontId="14" fillId="0" borderId="0" xfId="6" applyNumberFormat="1" applyFont="1" applyFill="1" applyBorder="1" applyProtection="1"/>
    <xf numFmtId="1" fontId="14" fillId="0" borderId="0" xfId="1" applyNumberFormat="1" applyFont="1" applyFill="1" applyProtection="1"/>
    <xf numFmtId="0" fontId="14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center" vertical="center"/>
    </xf>
    <xf numFmtId="0" fontId="14" fillId="0" borderId="0" xfId="1" applyFont="1" applyFill="1" applyAlignment="1" applyProtection="1">
      <alignment wrapText="1"/>
    </xf>
    <xf numFmtId="2" fontId="14" fillId="0" borderId="0" xfId="1" applyNumberFormat="1" applyFont="1" applyFill="1" applyAlignment="1" applyProtection="1">
      <alignment wrapText="1"/>
    </xf>
    <xf numFmtId="1" fontId="14" fillId="0" borderId="0" xfId="1" applyNumberFormat="1" applyFont="1" applyFill="1" applyAlignment="1" applyProtection="1">
      <alignment wrapText="1"/>
    </xf>
    <xf numFmtId="0" fontId="12" fillId="0" borderId="0" xfId="0" applyFont="1" applyBorder="1" applyAlignment="1" applyProtection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188" fontId="12" fillId="0" borderId="0" xfId="0" applyNumberFormat="1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187" fontId="12" fillId="0" borderId="0" xfId="0" applyNumberFormat="1" applyFont="1" applyAlignment="1" applyProtection="1">
      <alignment horizontal="center" vertical="center" wrapText="1"/>
      <protection locked="0"/>
    </xf>
    <xf numFmtId="1" fontId="12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88" fontId="0" fillId="0" borderId="0" xfId="0" applyNumberForma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9" fillId="0" borderId="0" xfId="0" applyFont="1" applyBorder="1" applyProtection="1">
      <protection locked="0"/>
    </xf>
    <xf numFmtId="0" fontId="7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5" fillId="0" borderId="0" xfId="0" applyFont="1" applyBorder="1" applyProtection="1">
      <protection locked="0"/>
    </xf>
    <xf numFmtId="1" fontId="8" fillId="0" borderId="0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left" vertical="center"/>
    </xf>
    <xf numFmtId="187" fontId="0" fillId="0" borderId="0" xfId="0" applyNumberFormat="1" applyProtection="1">
      <protection locked="0"/>
    </xf>
    <xf numFmtId="2" fontId="12" fillId="0" borderId="0" xfId="0" applyNumberFormat="1" applyFont="1" applyAlignment="1" applyProtection="1">
      <alignment horizontal="center" vertical="center" wrapText="1"/>
      <protection locked="0"/>
    </xf>
    <xf numFmtId="2" fontId="0" fillId="0" borderId="0" xfId="0" applyNumberFormat="1" applyProtection="1">
      <protection locked="0"/>
    </xf>
    <xf numFmtId="0" fontId="12" fillId="0" borderId="0" xfId="0" applyFont="1" applyAlignment="1">
      <alignment horizontal="center"/>
    </xf>
    <xf numFmtId="0" fontId="12" fillId="0" borderId="0" xfId="0" applyFont="1" applyAlignment="1" applyProtection="1">
      <alignment horizontal="center"/>
      <protection locked="0"/>
    </xf>
    <xf numFmtId="188" fontId="12" fillId="0" borderId="0" xfId="0" applyNumberFormat="1" applyFont="1" applyAlignment="1" applyProtection="1">
      <alignment horizontal="center"/>
      <protection locked="0"/>
    </xf>
    <xf numFmtId="187" fontId="12" fillId="0" borderId="0" xfId="0" applyNumberFormat="1" applyFont="1" applyAlignment="1" applyProtection="1">
      <alignment horizontal="center"/>
      <protection locked="0"/>
    </xf>
    <xf numFmtId="2" fontId="12" fillId="0" borderId="0" xfId="0" applyNumberFormat="1" applyFont="1" applyAlignment="1" applyProtection="1">
      <alignment horizontal="center"/>
      <protection locked="0"/>
    </xf>
    <xf numFmtId="0" fontId="16" fillId="0" borderId="0" xfId="0" applyFont="1" applyBorder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14" fillId="0" borderId="0" xfId="1" applyFont="1" applyFill="1" applyAlignment="1" applyProtection="1">
      <alignment vertical="center"/>
    </xf>
    <xf numFmtId="0" fontId="14" fillId="0" borderId="0" xfId="1" applyFont="1" applyFill="1" applyAlignment="1" applyProtection="1">
      <alignment horizontal="left" vertical="center"/>
    </xf>
    <xf numFmtId="0" fontId="13" fillId="0" borderId="0" xfId="1" applyFont="1" applyAlignment="1" applyProtection="1">
      <alignment horizontal="left" vertical="center"/>
    </xf>
    <xf numFmtId="0" fontId="13" fillId="0" borderId="0" xfId="6" applyFont="1" applyBorder="1" applyAlignment="1" applyProtection="1">
      <alignment horizontal="left" vertical="center"/>
    </xf>
    <xf numFmtId="1" fontId="12" fillId="0" borderId="0" xfId="0" applyNumberFormat="1" applyFont="1" applyAlignment="1" applyProtection="1">
      <alignment horizontal="left" vertical="center"/>
    </xf>
    <xf numFmtId="188" fontId="8" fillId="0" borderId="0" xfId="0" applyNumberFormat="1" applyFont="1" applyBorder="1" applyAlignment="1" applyProtection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left" vertical="center"/>
    </xf>
    <xf numFmtId="2" fontId="8" fillId="0" borderId="7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2" fontId="8" fillId="3" borderId="1" xfId="0" applyNumberFormat="1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2" fontId="8" fillId="0" borderId="0" xfId="0" applyNumberFormat="1" applyFont="1" applyBorder="1" applyAlignment="1" applyProtection="1">
      <alignment horizontal="center" vertical="center"/>
    </xf>
    <xf numFmtId="2" fontId="8" fillId="0" borderId="0" xfId="0" applyNumberFormat="1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left" vertical="center"/>
    </xf>
    <xf numFmtId="2" fontId="8" fillId="0" borderId="9" xfId="0" applyNumberFormat="1" applyFont="1" applyBorder="1" applyAlignment="1">
      <alignment horizontal="center" vertical="center"/>
    </xf>
    <xf numFmtId="187" fontId="8" fillId="0" borderId="0" xfId="0" applyNumberFormat="1" applyFont="1" applyBorder="1" applyAlignment="1" applyProtection="1">
      <alignment horizontal="center" vertical="center"/>
    </xf>
    <xf numFmtId="187" fontId="8" fillId="4" borderId="0" xfId="0" applyNumberFormat="1" applyFont="1" applyFill="1" applyBorder="1" applyAlignment="1" applyProtection="1">
      <alignment horizontal="center" vertical="center"/>
      <protection locked="0"/>
    </xf>
    <xf numFmtId="2" fontId="8" fillId="4" borderId="0" xfId="0" applyNumberFormat="1" applyFont="1" applyFill="1" applyBorder="1" applyAlignment="1" applyProtection="1">
      <alignment horizontal="left" vertical="center"/>
      <protection locked="0"/>
    </xf>
    <xf numFmtId="2" fontId="8" fillId="0" borderId="0" xfId="0" applyNumberFormat="1" applyFont="1" applyAlignment="1" applyProtection="1">
      <alignment horizontal="left" vertical="center"/>
    </xf>
    <xf numFmtId="0" fontId="3" fillId="0" borderId="0" xfId="1" applyFont="1" applyFill="1" applyAlignment="1">
      <alignment horizontal="center" vertical="center"/>
    </xf>
    <xf numFmtId="2" fontId="8" fillId="0" borderId="0" xfId="0" applyNumberFormat="1" applyFont="1" applyAlignment="1">
      <alignment horizontal="left"/>
    </xf>
    <xf numFmtId="1" fontId="8" fillId="4" borderId="0" xfId="0" applyNumberFormat="1" applyFont="1" applyFill="1" applyBorder="1" applyAlignment="1" applyProtection="1">
      <alignment horizontal="left" vertical="center"/>
      <protection locked="0"/>
    </xf>
    <xf numFmtId="0" fontId="11" fillId="0" borderId="0" xfId="6" applyFont="1" applyBorder="1" applyAlignment="1" applyProtection="1">
      <alignment horizontal="left" vertical="center"/>
    </xf>
    <xf numFmtId="0" fontId="13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1" fillId="0" borderId="0" xfId="6" applyFont="1" applyBorder="1" applyAlignment="1" applyProtection="1">
      <alignment horizontal="left" vertical="center"/>
      <protection locked="0"/>
    </xf>
    <xf numFmtId="0" fontId="0" fillId="0" borderId="0" xfId="6" applyFont="1" applyBorder="1" applyAlignment="1" applyProtection="1">
      <alignment horizontal="left" vertical="center"/>
    </xf>
    <xf numFmtId="0" fontId="13" fillId="0" borderId="0" xfId="6" applyFont="1" applyBorder="1" applyAlignment="1" applyProtection="1">
      <alignment horizontal="left" vertical="center"/>
    </xf>
    <xf numFmtId="2" fontId="13" fillId="0" borderId="0" xfId="6" applyNumberFormat="1" applyFont="1" applyBorder="1" applyAlignment="1" applyProtection="1">
      <alignment horizontal="left" vertical="center"/>
    </xf>
    <xf numFmtId="2" fontId="13" fillId="0" borderId="0" xfId="1" applyNumberFormat="1" applyFont="1" applyFill="1" applyBorder="1" applyAlignment="1" applyProtection="1">
      <alignment horizontal="left" vertical="center"/>
    </xf>
    <xf numFmtId="187" fontId="14" fillId="0" borderId="0" xfId="1" applyNumberFormat="1" applyFont="1" applyFill="1" applyAlignment="1" applyProtection="1">
      <alignment horizontal="left" vertical="center"/>
    </xf>
    <xf numFmtId="0" fontId="13" fillId="0" borderId="7" xfId="6" applyNumberFormat="1" applyFont="1" applyFill="1" applyBorder="1" applyAlignment="1" applyProtection="1">
      <alignment horizontal="left" vertical="center"/>
    </xf>
    <xf numFmtId="0" fontId="13" fillId="0" borderId="8" xfId="6" applyNumberFormat="1" applyFont="1" applyFill="1" applyBorder="1" applyAlignment="1" applyProtection="1">
      <alignment horizontal="left" vertical="center"/>
    </xf>
    <xf numFmtId="0" fontId="13" fillId="0" borderId="9" xfId="6" applyNumberFormat="1" applyFont="1" applyFill="1" applyBorder="1" applyAlignment="1" applyProtection="1">
      <alignment horizontal="left" vertical="center"/>
    </xf>
    <xf numFmtId="0" fontId="14" fillId="0" borderId="0" xfId="1" applyFont="1" applyFill="1" applyAlignment="1" applyProtection="1">
      <alignment horizontal="left" vertical="center"/>
    </xf>
    <xf numFmtId="0" fontId="13" fillId="0" borderId="11" xfId="6" applyFont="1" applyFill="1" applyBorder="1" applyAlignment="1" applyProtection="1">
      <alignment horizontal="center" vertical="center"/>
    </xf>
    <xf numFmtId="0" fontId="13" fillId="0" borderId="12" xfId="6" applyFont="1" applyFill="1" applyBorder="1" applyAlignment="1" applyProtection="1">
      <alignment horizontal="center" vertical="center"/>
    </xf>
    <xf numFmtId="0" fontId="13" fillId="0" borderId="5" xfId="6" applyFont="1" applyFill="1" applyBorder="1" applyAlignment="1" applyProtection="1">
      <alignment horizontal="center" vertical="center"/>
    </xf>
    <xf numFmtId="0" fontId="13" fillId="0" borderId="2" xfId="6" applyFont="1" applyFill="1" applyBorder="1" applyAlignment="1" applyProtection="1">
      <alignment horizontal="center" vertical="center"/>
    </xf>
    <xf numFmtId="0" fontId="13" fillId="0" borderId="3" xfId="6" applyFont="1" applyFill="1" applyBorder="1" applyAlignment="1" applyProtection="1">
      <alignment horizontal="center" vertical="center"/>
    </xf>
    <xf numFmtId="0" fontId="13" fillId="0" borderId="4" xfId="6" applyFont="1" applyFill="1" applyBorder="1" applyAlignment="1" applyProtection="1">
      <alignment horizontal="center" vertical="center"/>
    </xf>
    <xf numFmtId="0" fontId="14" fillId="0" borderId="6" xfId="6" applyFont="1" applyFill="1" applyBorder="1" applyAlignment="1" applyProtection="1">
      <alignment horizontal="center" vertical="center" wrapText="1"/>
    </xf>
    <xf numFmtId="0" fontId="14" fillId="0" borderId="10" xfId="6" applyFont="1" applyFill="1" applyBorder="1" applyAlignment="1" applyProtection="1">
      <alignment horizontal="center" vertical="center"/>
    </xf>
    <xf numFmtId="0" fontId="13" fillId="0" borderId="7" xfId="6" applyFont="1" applyFill="1" applyBorder="1" applyAlignment="1" applyProtection="1">
      <alignment horizontal="center"/>
    </xf>
    <xf numFmtId="0" fontId="13" fillId="0" borderId="8" xfId="6" applyFont="1" applyFill="1" applyBorder="1" applyAlignment="1" applyProtection="1">
      <alignment horizontal="center"/>
    </xf>
    <xf numFmtId="0" fontId="13" fillId="0" borderId="9" xfId="6" applyFont="1" applyFill="1" applyBorder="1" applyAlignment="1" applyProtection="1">
      <alignment horizontal="center"/>
    </xf>
    <xf numFmtId="1" fontId="13" fillId="0" borderId="6" xfId="6" applyNumberFormat="1" applyFont="1" applyFill="1" applyBorder="1" applyAlignment="1" applyProtection="1">
      <alignment horizontal="center" vertical="center" wrapText="1"/>
    </xf>
    <xf numFmtId="1" fontId="13" fillId="0" borderId="10" xfId="6" applyNumberFormat="1" applyFont="1" applyFill="1" applyBorder="1" applyAlignment="1" applyProtection="1">
      <alignment horizontal="center" vertical="center" wrapText="1"/>
    </xf>
    <xf numFmtId="2" fontId="13" fillId="0" borderId="6" xfId="6" applyNumberFormat="1" applyFont="1" applyFill="1" applyBorder="1" applyAlignment="1" applyProtection="1">
      <alignment horizontal="center" vertical="center"/>
    </xf>
    <xf numFmtId="2" fontId="13" fillId="0" borderId="10" xfId="6" applyNumberFormat="1" applyFont="1" applyFill="1" applyBorder="1" applyAlignment="1" applyProtection="1">
      <alignment horizontal="center" vertical="center"/>
    </xf>
    <xf numFmtId="0" fontId="13" fillId="0" borderId="12" xfId="6" applyFont="1" applyFill="1" applyBorder="1" applyAlignment="1" applyProtection="1">
      <alignment horizontal="right" vertic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3" fillId="0" borderId="7" xfId="6" applyFont="1" applyFill="1" applyBorder="1" applyAlignment="1" applyProtection="1">
      <alignment horizontal="left" vertical="center"/>
    </xf>
    <xf numFmtId="0" fontId="13" fillId="0" borderId="8" xfId="6" applyFont="1" applyFill="1" applyBorder="1" applyAlignment="1" applyProtection="1">
      <alignment horizontal="left" vertical="center"/>
    </xf>
    <xf numFmtId="0" fontId="13" fillId="0" borderId="9" xfId="6" applyFont="1" applyFill="1" applyBorder="1" applyAlignment="1" applyProtection="1">
      <alignment horizontal="left" vertical="center"/>
    </xf>
  </cellXfs>
  <cellStyles count="12">
    <cellStyle name="Normal" xfId="0" builtinId="0"/>
    <cellStyle name="Normal 2" xfId="1"/>
    <cellStyle name="Normal 2 2" xfId="2"/>
    <cellStyle name="Normal 2 2 2" xfId="3"/>
    <cellStyle name="Normal 2 3" xfId="4"/>
    <cellStyle name="Normal 2 4" xfId="5"/>
    <cellStyle name="Normal 3" xfId="6"/>
    <cellStyle name="Normal 4" xfId="7"/>
    <cellStyle name="Normal 4 2" xfId="8"/>
    <cellStyle name="Normal 5" xfId="9"/>
    <cellStyle name="Normal 6" xfId="10"/>
    <cellStyle name="Normal 7" xfId="11"/>
  </cellStyles>
  <dxfs count="78"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87" formatCode="[$-1070000]d/mm/yyyy;@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88" formatCode="00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[$-1070000]d/mm/yyyy;@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[$-1070000]d/mm/yyyy;@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88" formatCode="0000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88" formatCode="0000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numFmt numFmtId="189" formatCode="0;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colors>
    <mruColors>
      <color rgb="FFF2DCDB"/>
      <color rgb="FFC5D9F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</xdr:row>
          <xdr:rowOff>0</xdr:rowOff>
        </xdr:from>
        <xdr:to>
          <xdr:col>14</xdr:col>
          <xdr:colOff>0</xdr:colOff>
          <xdr:row>3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ส่งข้อมูล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0</xdr:rowOff>
        </xdr:from>
        <xdr:to>
          <xdr:col>11</xdr:col>
          <xdr:colOff>0</xdr:colOff>
          <xdr:row>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ล้างค่า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13</xdr:row>
          <xdr:rowOff>285750</xdr:rowOff>
        </xdr:from>
        <xdr:to>
          <xdr:col>14</xdr:col>
          <xdr:colOff>0</xdr:colOff>
          <xdr:row>14</xdr:row>
          <xdr:rowOff>285750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Copy ข้อมูล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3</xdr:row>
          <xdr:rowOff>0</xdr:rowOff>
        </xdr:from>
        <xdr:to>
          <xdr:col>15</xdr:col>
          <xdr:colOff>0</xdr:colOff>
          <xdr:row>4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685799</xdr:colOff>
          <xdr:row>6</xdr:row>
          <xdr:rowOff>0</xdr:rowOff>
        </xdr:from>
        <xdr:to>
          <xdr:col>18</xdr:col>
          <xdr:colOff>466724</xdr:colOff>
          <xdr:row>7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Copy ต่อเนื่องลงมา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2;&#3621;&#3585;&#3634;&#3619;&#3611;&#3619;&#3632;&#3648;&#3617;&#3636;&#3609;&#3611;&#3637;%2059/3/&#3610;&#3611;&#3612;.&#3605;&#3623;%201%20&#3614;&#3636;&#3625;&#3603;&#3640;&#3650;&#3621;&#35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รวม"/>
      <sheetName val="คุณมนูญ"/>
      <sheetName val="นงนารถ"/>
      <sheetName val="คุณดุษฎี"/>
      <sheetName val="คุณวันมงคล"/>
      <sheetName val="คุณธำรงค์"/>
      <sheetName val="สรุปตอนท้าย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2" name="Table2" displayName="Table2" ref="A6:Z16" totalsRowShown="0" headerRowDxfId="77" dataDxfId="76">
  <autoFilter ref="A6:Z16"/>
  <tableColumns count="26">
    <tableColumn id="1" name="#" dataDxfId="75">
      <calculatedColumnFormula xml:space="preserve"> IF(F7 &lt;&gt; "", A5 + 1, "")</calculatedColumnFormula>
    </tableColumn>
    <tableColumn id="2" name="เลขที่_x000a_แบบสอบถาม" dataDxfId="74">
      <calculatedColumnFormula>IF(ISBLANK(ตารางสรุปประเมินความพึงพอใจ!C11),"",OFFSET(ตารางสรุปประเมินความพึงพอใจ!$L$6,0,0))</calculatedColumnFormula>
    </tableColumn>
    <tableColumn id="3" name="ชื่อหลักสูตร" dataDxfId="73">
      <calculatedColumnFormula>IF(ISBLANK(ตารางสรุปประเมินความพึงพอใจ!C11),"",OFFSET(ตารางสรุปประเมินความพึงพอใจ!$V$6,0,0))</calculatedColumnFormula>
    </tableColumn>
    <tableColumn id="4" name="วันที่_x000a_ทำแบบสอบถาม" dataDxfId="72">
      <calculatedColumnFormula>IF(ISBLANK(ตารางสรุปประเมินความพึงพอใจ!C11),"",OFFSET(ตารางสรุปประเมินความพึงพอใจ!$AR$5,0,0))</calculatedColumnFormula>
    </tableColumn>
    <tableColumn id="28" name="สถานที่อบรม" dataDxfId="71">
      <calculatedColumnFormula>IF(ISBLANK(ตารางสรุปประเมินความพึงพอใจ!C11),"",OFFSET(ตารางสรุปประเมินความพึงพอใจ!$BI$6,0,0))</calculatedColumnFormula>
    </tableColumn>
    <tableColumn id="5" name="ชื่อ_x000a_วิทยากร" dataDxfId="70">
      <calculatedColumnFormula>IF(ISBLANK(ตารางสรุปประเมินความพึงพอใจ!C11),"",ตารางสรุปประเมินความพึงพอใจ!C11)</calculatedColumnFormula>
    </tableColumn>
    <tableColumn id="6" name="ชื่อแบบ_x000a_สอบถาม" dataDxfId="69">
      <calculatedColumnFormula>IF(ISBLANK(ตารางสรุปประเมินความพึงพอใจ!D11),"",ตารางสรุปประเมินความพึงพอใจ!D11)</calculatedColumnFormula>
    </tableColumn>
    <tableColumn id="27" name="จำนวน_x000a_แบบสอบถาม" dataDxfId="68">
      <calculatedColumnFormula>IF(ISBLANK(ตารางสรุปประเมินความพึงพอใจ!E11),"",ตารางสรุปประเมินความพึงพอใจ!E11)</calculatedColumnFormula>
    </tableColumn>
    <tableColumn id="7" name="ระดับคะแนน_x000a_สรุป 5" dataDxfId="67">
      <calculatedColumnFormula>IF(ISBLANK(F7),"0",IF(ตารางสรุปประเมินความพึงพอใจ!BR11=0,"",INDEX(ตารางสรุปประเมินความพึงพอใจ!B11:CJ20,MATCH(Macro!F7,ตารางสรุปประเมินความพึงพอใจ!C11:C20,0),69)))</calculatedColumnFormula>
    </tableColumn>
    <tableColumn id="8" name="ระดับคะแนน _x000a_สรุป 4" dataDxfId="66">
      <calculatedColumnFormula>IF(ISBLANK(F7),"0",IF(ตารางสรุปประเมินความพึงพอใจ!BS11=0,"",INDEX(ตารางสรุปประเมินความพึงพอใจ!B11:CJ20,MATCH(Macro!F7,ตารางสรุปประเมินความพึงพอใจ!C11:C20,0),70)))</calculatedColumnFormula>
    </tableColumn>
    <tableColumn id="9" name="ระดับคะแนน _x000a_สรุป 3" dataDxfId="65">
      <calculatedColumnFormula>IF(ISBLANK(F7),"0",IF(ตารางสรุปประเมินความพึงพอใจ!BT11=0,"",INDEX(ตารางสรุปประเมินความพึงพอใจ!B11:CJ20,MATCH(Macro!F7,ตารางสรุปประเมินความพึงพอใจ!C11:C20,0),71)))</calculatedColumnFormula>
    </tableColumn>
    <tableColumn id="10" name="ระดับคะแนน _x000a_สรุป 2" dataDxfId="64">
      <calculatedColumnFormula>IF(ISBLANK(F7),"0",IF(ตารางสรุปประเมินความพึงพอใจ!BU11=0,"",INDEX(ตารางสรุปประเมินความพึงพอใจ!B11:CJ20,MATCH(Macro!F7,ตารางสรุปประเมินความพึงพอใจ!C11:C20,0),72)))</calculatedColumnFormula>
    </tableColumn>
    <tableColumn id="11" name="ระดับคะแนน _x000a_สรุป 1" dataDxfId="63">
      <calculatedColumnFormula>IF(ISBLANK(F7),"0",IF(ตารางสรุปประเมินความพึงพอใจ!BV11=0,"",INDEX(ตารางสรุปประเมินความพึงพอใจ!B11:CJ20,MATCH(Macro!F7,ตารางสรุปประเมินความพึงพอใจ!C11:C20,0),73)))</calculatedColumnFormula>
    </tableColumn>
    <tableColumn id="13" name="ค่าเฉลี่ย _x000a_X" dataDxfId="62">
      <calculatedColumnFormula>IF(ISBLANK(F7),"0",IF(ตารางสรุปประเมินความพึงพอใจ!BX11="0","",INDEX(ตารางสรุปประเมินความพึงพอใจ!B11:CJ20,MATCH(Macro!F7,ตารางสรุปประเมินความพึงพอใจ!C11:C20,0),75)))</calculatedColumnFormula>
    </tableColumn>
    <tableColumn id="14" name="ส่วนเบี่ยงเบนมาตราฐาน _x000a_SD" dataDxfId="61">
      <calculatedColumnFormula>IF(ISBLANK(F7),"0",IF(ตารางสรุปประเมินความพึงพอใจ!BY11="0","",INDEX(ตารางสรุปประเมินความพึงพอใจ!B11:CJ20,MATCH(Macro!F7,ตารางสรุปประเมินความพึงพอใจ!C11:C20,0),76)))</calculatedColumnFormula>
    </tableColumn>
    <tableColumn id="15" name="ระดับความพอใจ" dataDxfId="60">
      <calculatedColumnFormula>IF(ISBLANK(F7),"",IF(ตารางสรุปประเมินความพึงพอใจ!BZ11="","",INDEX(ตารางสรุปประเมินความพึงพอใจ!B11:CJ20,MATCH(Macro!F7,ตารางสรุปประเมินความพึงพอใจ!C11:C20,0),77)))</calculatedColumnFormula>
    </tableColumn>
    <tableColumn id="16" name="ความเห็น 1" dataDxfId="59">
      <calculatedColumnFormula>IF(ISBLANK(F7),"",IF(ตารางสรุปประเมินความพึงพอใจ!CA11="","",INDEX(ตารางสรุปประเมินความพึงพอใจ!B11:CJ20,MATCH(Macro!F7,ตารางสรุปประเมินความพึงพอใจ!C11:C20,0),78)))</calculatedColumnFormula>
    </tableColumn>
    <tableColumn id="17" name="ความเห็น 2" dataDxfId="58">
      <calculatedColumnFormula>IF(ISBLANK(F7),"",IF(ตารางสรุปประเมินความพึงพอใจ!CB11="","",INDEX(ตารางสรุปประเมินความพึงพอใจ!B11:CJ20,MATCH(Macro!F7,ตารางสรุปประเมินความพึงพอใจ!C11:C20,0),79)))</calculatedColumnFormula>
    </tableColumn>
    <tableColumn id="18" name="ความเห็น 3" dataDxfId="57">
      <calculatedColumnFormula>IF(ISBLANK(F7),"",IF(ตารางสรุปประเมินความพึงพอใจ!CC11="","",INDEX(ตารางสรุปประเมินความพึงพอใจ!B11:CJ20,MATCH(Macro!F7,ตารางสรุปประเมินความพึงพอใจ!C11:C20,0),80)))</calculatedColumnFormula>
    </tableColumn>
    <tableColumn id="19" name="ความเห็น 4" dataDxfId="56">
      <calculatedColumnFormula>IF(ISBLANK(F7),"",IF(ตารางสรุปประเมินความพึงพอใจ!CD11="","",INDEX(ตารางสรุปประเมินความพึงพอใจ!B11:CJ20,MATCH(Macro!F7,ตารางสรุปประเมินความพึงพอใจ!C11:C20,0),81)))</calculatedColumnFormula>
    </tableColumn>
    <tableColumn id="20" name="ความเห็น 5" dataDxfId="55">
      <calculatedColumnFormula>IF(ISBLANK(F7),"",IF(ตารางสรุปประเมินความพึงพอใจ!CE11="","",INDEX(ตารางสรุปประเมินความพึงพอใจ!B11:CJ20,MATCH(Macro!F7,ตารางสรุปประเมินความพึงพอใจ!C11:C20,0),82)))</calculatedColumnFormula>
    </tableColumn>
    <tableColumn id="21" name="ความเห็น 6" dataDxfId="54">
      <calculatedColumnFormula>IF(ISBLANK($F7),"",IF(ตารางสรุปประเมินความพึงพอใจ!$CF11="","",INDEX(ตารางสรุปประเมินความพึงพอใจ!$B11:$CJ20,MATCH(Macro!$F7,ตารางสรุปประเมินความพึงพอใจ!$C11:$C20,0),83)))</calculatedColumnFormula>
    </tableColumn>
    <tableColumn id="22" name="ความเห็น 7" dataDxfId="53">
      <calculatedColumnFormula>IF(ISBLANK($F7),"",IF(ตารางสรุปประเมินความพึงพอใจ!$CG11="","",INDEX(ตารางสรุปประเมินความพึงพอใจ!$B11:$CJ20,MATCH(Macro!$F7,ตารางสรุปประเมินความพึงพอใจ!$C11:$C20,0),84)))</calculatedColumnFormula>
    </tableColumn>
    <tableColumn id="23" name="ความเห็น 8" dataDxfId="52">
      <calculatedColumnFormula>IF(ISBLANK($F7),"",IF(ตารางสรุปประเมินความพึงพอใจ!$CH11="","",INDEX(ตารางสรุปประเมินความพึงพอใจ!$B11:$CJ20,MATCH(Macro!$F7,ตารางสรุปประเมินความพึงพอใจ!$C11:$C20,0),85)))</calculatedColumnFormula>
    </tableColumn>
    <tableColumn id="24" name="ความเห็น 9" dataDxfId="51">
      <calculatedColumnFormula>IF(ISBLANK($F7),"",IF(ตารางสรุปประเมินความพึงพอใจ!$CI11="","",INDEX(ตารางสรุปประเมินความพึงพอใจ!$B11:$CJ20,MATCH(Macro!$F7,ตารางสรุปประเมินความพึงพอใจ!$C11:$C20,0),86)))</calculatedColumnFormula>
    </tableColumn>
    <tableColumn id="25" name="ความเห็น 10" dataDxfId="50">
      <calculatedColumnFormula>IF(ISBLANK($F7),"",IF(ตารางสรุปประเมินความพึงพอใจ!$CJ11="","",INDEX(ตารางสรุปประเมินความพึงพอใจ!$B11:$CJ20,MATCH(Macro!$F7,ตารางสรุปประเมินความพึงพอใจ!$C11:$C20,0),87)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Z41" totalsRowShown="0" headerRowDxfId="49" dataDxfId="48">
  <autoFilter ref="A1:Z41"/>
  <tableColumns count="26">
    <tableColumn id="1" name="#" dataDxfId="47"/>
    <tableColumn id="2" name="เลขที่_x000a_แบบสอบถาม" dataDxfId="25"/>
    <tableColumn id="3" name="ชื่อหลักสูตร" dataDxfId="24"/>
    <tableColumn id="4" name="วันที่_x000a_ทำแบบสอบถาม" dataDxfId="23"/>
    <tableColumn id="5" name="สถานที่อบรม" dataDxfId="22"/>
    <tableColumn id="6" name="ชื่อ_x000a_วิทยากร" dataDxfId="21"/>
    <tableColumn id="7" name="ชื่อแบบ_x000a_สอบถาม" dataDxfId="20"/>
    <tableColumn id="8" name="จำนวน_x000a_แบบสอบถาม" dataDxfId="19"/>
    <tableColumn id="9" name="ระดับคะแนน_x000a_สรุป 5" dataDxfId="18"/>
    <tableColumn id="10" name="ระดับคะแนน _x000a_สรุป 4" dataDxfId="17"/>
    <tableColumn id="11" name="ระดับคะแนน _x000a_สรุป 3" dataDxfId="16"/>
    <tableColumn id="12" name="ระดับคะแนน _x000a_สรุป 2" dataDxfId="15"/>
    <tableColumn id="13" name="ระดับคะแนน _x000a_สรุป 1" dataDxfId="14"/>
    <tableColumn id="14" name="ค่าเฉลี่ย _x000a_X" dataDxfId="13"/>
    <tableColumn id="15" name="ส่วนเบี่ยงเบนมาตราฐาน _x000a_SD" dataDxfId="12"/>
    <tableColumn id="16" name="ระดับความพอใจ" dataDxfId="11"/>
    <tableColumn id="17" name="ความเห็น 1" dataDxfId="10"/>
    <tableColumn id="18" name="ความเห็น 2" dataDxfId="9"/>
    <tableColumn id="19" name="ความเห็น 3" dataDxfId="8"/>
    <tableColumn id="20" name="ความเห็น 4" dataDxfId="7"/>
    <tableColumn id="21" name="ความเห็น 5" dataDxfId="6"/>
    <tableColumn id="22" name="ความเห็น 6" dataDxfId="5"/>
    <tableColumn id="23" name="ความเห็น 7" dataDxfId="4"/>
    <tableColumn id="24" name="ความเห็น 8" dataDxfId="3"/>
    <tableColumn id="25" name="ความเห็น 9" dataDxfId="2"/>
    <tableColumn id="26" name="ความเห็น 10" dataDxfId="1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1" name="Table1585" displayName="Table1585" ref="A2:J41" totalsRowShown="0" headerRowDxfId="46" dataDxfId="45">
  <autoFilter ref="A2:J41"/>
  <sortState ref="A3:J40">
    <sortCondition ref="D2:D40"/>
  </sortState>
  <tableColumns count="10">
    <tableColumn id="1" name="#" dataDxfId="44">
      <calculatedColumnFormula>ROW(B3)-2</calculatedColumnFormula>
    </tableColumn>
    <tableColumn id="2" name="รหัสวิทยากร" dataDxfId="43"/>
    <tableColumn id="3" name="คำนำหน้า" dataDxfId="42"/>
    <tableColumn id="4" name="ชื่อ" dataDxfId="41"/>
    <tableColumn id="5" name="นามสกุล" dataDxfId="40"/>
    <tableColumn id="6" name="ระดับ" dataDxfId="39"/>
    <tableColumn id="7" name="ตำแหน่ง" dataDxfId="38"/>
    <tableColumn id="8" name="สาขา/ศูนย์" dataDxfId="37"/>
    <tableColumn id="9" name="เบอร์ติดต่อ" dataDxfId="36"/>
    <tableColumn id="10" name="ชื่อและนามสกุล" dataDxfId="35">
      <calculatedColumnFormula>CONCATENATE("คุณ",D3," ",E3)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L2:R41" totalsRowShown="0" headerRowDxfId="34" dataDxfId="33">
  <autoFilter ref="L2:R41"/>
  <tableColumns count="7">
    <tableColumn id="1" name="#" dataDxfId="32"/>
    <tableColumn id="2" name="รหัสประเภทวิชา" dataDxfId="31"/>
    <tableColumn id="3" name="ชื่อประเภท" dataDxfId="30"/>
    <tableColumn id="4" name="รหัสวิชา" dataDxfId="29"/>
    <tableColumn id="5" name="ชื่อวิชา" dataDxfId="28"/>
    <tableColumn id="6" name="Column1" dataDxfId="27"/>
    <tableColumn id="7" name="Column2" dataDxfId="26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6"/>
  <sheetViews>
    <sheetView workbookViewId="0">
      <selection activeCell="B7" sqref="B7"/>
    </sheetView>
  </sheetViews>
  <sheetFormatPr defaultRowHeight="22.5" x14ac:dyDescent="0.45"/>
  <cols>
    <col min="1" max="1" width="6.5" style="103" customWidth="1"/>
    <col min="2" max="2" width="15.625" style="81" customWidth="1"/>
    <col min="3" max="3" width="36.625" style="81" customWidth="1"/>
    <col min="4" max="4" width="17.875" style="81" customWidth="1"/>
    <col min="5" max="5" width="31.375" style="81" customWidth="1"/>
    <col min="6" max="6" width="22.75" style="81" bestFit="1" customWidth="1"/>
    <col min="7" max="7" width="25.625" style="81" bestFit="1" customWidth="1"/>
    <col min="8" max="8" width="15.625" style="81" customWidth="1"/>
    <col min="9" max="9" width="21" style="104" customWidth="1"/>
    <col min="10" max="13" width="21.75" style="81" customWidth="1"/>
    <col min="14" max="14" width="12.875" style="82" customWidth="1"/>
    <col min="15" max="15" width="27" style="82" customWidth="1"/>
    <col min="16" max="16" width="18.5" style="81" customWidth="1"/>
    <col min="17" max="19" width="14.5" style="83" customWidth="1"/>
    <col min="20" max="20" width="14.5" style="83" bestFit="1" customWidth="1"/>
    <col min="21" max="25" width="14.5" style="83" customWidth="1"/>
    <col min="26" max="26" width="15.75" style="83" customWidth="1"/>
    <col min="27" max="16384" width="9" style="65"/>
  </cols>
  <sheetData>
    <row r="1" spans="1:26" x14ac:dyDescent="0.45">
      <c r="A1" s="78" t="s">
        <v>120</v>
      </c>
      <c r="B1" s="79"/>
      <c r="C1" s="80">
        <f ca="1">ตารางสรุปประเมินความพึงพอใจ!L6</f>
        <v>5.0000000000000018</v>
      </c>
      <c r="F1" s="81" t="s">
        <v>198</v>
      </c>
      <c r="G1" s="154" t="str">
        <f>ตารางสรุปประเมินความพึงพอใจ!BI6</f>
        <v>ชั้น 4 ห้อง 4 สำนักงานใหญ่</v>
      </c>
      <c r="H1" s="154"/>
      <c r="I1" s="154"/>
      <c r="J1" s="154"/>
    </row>
    <row r="2" spans="1:26" x14ac:dyDescent="0.45">
      <c r="A2" s="78" t="s">
        <v>178</v>
      </c>
      <c r="B2" s="84"/>
      <c r="C2" s="84" t="str">
        <f>ตารางสรุปประเมินความพึงพอใจ!V6</f>
        <v>ขอต่อใบอนุญาตตัวแทนประกันวินาศภัยครั้งที่ 4</v>
      </c>
      <c r="I2" s="85"/>
      <c r="J2" s="85"/>
      <c r="K2" s="85"/>
      <c r="L2" s="85"/>
      <c r="M2" s="85"/>
      <c r="N2" s="85"/>
      <c r="O2" s="85"/>
      <c r="P2" s="85"/>
      <c r="Q2" s="86"/>
      <c r="R2" s="86"/>
      <c r="S2" s="86"/>
      <c r="T2" s="86"/>
    </row>
    <row r="3" spans="1:26" x14ac:dyDescent="0.45">
      <c r="A3" s="87" t="s">
        <v>168</v>
      </c>
      <c r="B3" s="88"/>
      <c r="C3" s="89">
        <f>ตารางสรุปประเมินความพึงพอใจ!AR5</f>
        <v>42539</v>
      </c>
      <c r="I3" s="90"/>
      <c r="J3" s="90"/>
    </row>
    <row r="6" spans="1:26" ht="45" x14ac:dyDescent="0.2">
      <c r="A6" s="91" t="s">
        <v>37</v>
      </c>
      <c r="B6" s="92" t="s">
        <v>171</v>
      </c>
      <c r="C6" s="92" t="s">
        <v>178</v>
      </c>
      <c r="D6" s="93" t="s">
        <v>170</v>
      </c>
      <c r="E6" s="93" t="s">
        <v>198</v>
      </c>
      <c r="F6" s="92" t="s">
        <v>172</v>
      </c>
      <c r="G6" s="92" t="s">
        <v>169</v>
      </c>
      <c r="H6" s="92" t="s">
        <v>93</v>
      </c>
      <c r="I6" s="94" t="s">
        <v>173</v>
      </c>
      <c r="J6" s="94" t="s">
        <v>174</v>
      </c>
      <c r="K6" s="94" t="s">
        <v>175</v>
      </c>
      <c r="L6" s="94" t="s">
        <v>176</v>
      </c>
      <c r="M6" s="94" t="s">
        <v>177</v>
      </c>
      <c r="N6" s="96" t="s">
        <v>126</v>
      </c>
      <c r="O6" s="96" t="s">
        <v>127</v>
      </c>
      <c r="P6" s="95" t="s">
        <v>179</v>
      </c>
      <c r="Q6" s="95" t="s">
        <v>187</v>
      </c>
      <c r="R6" s="95" t="s">
        <v>188</v>
      </c>
      <c r="S6" s="95" t="s">
        <v>189</v>
      </c>
      <c r="T6" s="95" t="s">
        <v>190</v>
      </c>
      <c r="U6" s="95" t="s">
        <v>191</v>
      </c>
      <c r="V6" s="95" t="s">
        <v>192</v>
      </c>
      <c r="W6" s="95" t="s">
        <v>193</v>
      </c>
      <c r="X6" s="95" t="s">
        <v>194</v>
      </c>
      <c r="Y6" s="95" t="s">
        <v>195</v>
      </c>
      <c r="Z6" s="95" t="s">
        <v>196</v>
      </c>
    </row>
    <row r="7" spans="1:26" x14ac:dyDescent="0.45">
      <c r="A7" s="91">
        <v>1</v>
      </c>
      <c r="B7" s="97">
        <f ca="1">IF(ISBLANK(ตารางสรุปประเมินความพึงพอใจ!C11),"",OFFSET(ตารางสรุปประเมินความพึงพอใจ!$L$6,0,0))</f>
        <v>5.0000000000000018</v>
      </c>
      <c r="C7" s="98" t="str">
        <f ca="1">IF(ISBLANK(ตารางสรุปประเมินความพึงพอใจ!C11),"",OFFSET(ตารางสรุปประเมินความพึงพอใจ!$V$6,0,0))</f>
        <v>ขอต่อใบอนุญาตตัวแทนประกันวินาศภัยครั้งที่ 4</v>
      </c>
      <c r="D7" s="99">
        <f ca="1">IF(ISBLANK(ตารางสรุปประเมินความพึงพอใจ!C11),"",OFFSET(ตารางสรุปประเมินความพึงพอใจ!$AR$5,0,0))</f>
        <v>42539</v>
      </c>
      <c r="E7" s="99" t="str">
        <f ca="1">IF(ISBLANK(ตารางสรุปประเมินความพึงพอใจ!C11),"",OFFSET(ตารางสรุปประเมินความพึงพอใจ!$BI$6,0,0))</f>
        <v>ชั้น 4 ห้อง 4 สำนักงานใหญ่</v>
      </c>
      <c r="F7" s="139" t="str">
        <f>IF(ISBLANK(ตารางสรุปประเมินความพึงพอใจ!C11),"",ตารางสรุปประเมินความพึงพอใจ!C11)</f>
        <v>คุณกมลวรรณ ทดสอบ01</v>
      </c>
      <c r="G7" s="139" t="str">
        <f>IF(ISBLANK(ตารางสรุปประเมินความพึงพอใจ!D11),"",ตารางสรุปประเมินความพึงพอใจ!D11)</f>
        <v>จรรยาบรรณประกันภัย</v>
      </c>
      <c r="H7" s="100">
        <f>IF(ISBLANK(ตารางสรุปประเมินความพึงพอใจ!E11),"",ตารางสรุปประเมินความพึงพอใจ!E11)</f>
        <v>40</v>
      </c>
      <c r="I7" s="101">
        <f>IF(ISBLANK(F7),"0",IF(ตารางสรุปประเมินความพึงพอใจ!BR11=0,"",INDEX(ตารางสรุปประเมินความพึงพอใจ!B11:CJ20,MATCH(Macro!F7,ตารางสรุปประเมินความพึงพอใจ!C11:C20,0),69)))</f>
        <v>156</v>
      </c>
      <c r="J7" s="101">
        <f>IF(ISBLANK(F7),"0",IF(ตารางสรุปประเมินความพึงพอใจ!BS11=0,"",INDEX(ตารางสรุปประเมินความพึงพอใจ!B11:CJ20,MATCH(Macro!F7,ตารางสรุปประเมินความพึงพอใจ!C11:C20,0),70)))</f>
        <v>76</v>
      </c>
      <c r="K7" s="101">
        <f>IF(ISBLANK(F7),"0",IF(ตารางสรุปประเมินความพึงพอใจ!BT11=0,"",INDEX(ตารางสรุปประเมินความพึงพอใจ!B11:CJ20,MATCH(Macro!F7,ตารางสรุปประเมินความพึงพอใจ!C11:C20,0),71)))</f>
        <v>88</v>
      </c>
      <c r="L7" s="101" t="str">
        <f>IF(ISBLANK(F7),"0",IF(ตารางสรุปประเมินความพึงพอใจ!BU11=0,"",INDEX(ตารางสรุปประเมินความพึงพอใจ!B11:CJ20,MATCH(Macro!F7,ตารางสรุปประเมินความพึงพอใจ!C11:C20,0),72)))</f>
        <v/>
      </c>
      <c r="M7" s="101" t="str">
        <f>IF(ISBLANK(F7),"0",IF(ตารางสรุปประเมินความพึงพอใจ!BV11=0,"",INDEX(ตารางสรุปประเมินความพึงพอใจ!B11:CJ20,MATCH(Macro!F7,ตารางสรุปประเมินความพึงพอใจ!C11:C20,0),73)))</f>
        <v/>
      </c>
      <c r="N7" s="102">
        <f>IF(ISBLANK(F7),"0",IF(ตารางสรุปประเมินความพึงพอใจ!BX11="0","",INDEX(ตารางสรุปประเมินความพึงพอใจ!B11:CJ20,MATCH(Macro!F7,ตารางสรุปประเมินความพึงพอใจ!C11:C20,0),75)))</f>
        <v>4.2125000000000004</v>
      </c>
      <c r="O7" s="102">
        <f>IF(ISBLANK(F7),"0",IF(ตารางสรุปประเมินความพึงพอใจ!BY11="0","",INDEX(ตารางสรุปประเมินความพึงพอใจ!B11:CJ20,MATCH(Macro!F7,ตารางสรุปประเมินความพึงพอใจ!C11:C20,0),76)))</f>
        <v>0.84696148082424283</v>
      </c>
      <c r="P7" s="101" t="str">
        <f>IF(ISBLANK(F7),"",IF(ตารางสรุปประเมินความพึงพอใจ!BZ11="","",INDEX(ตารางสรุปประเมินความพึงพอใจ!B11:CJ20,MATCH(Macro!F7,ตารางสรุปประเมินความพึงพอใจ!C11:C20,0),77)))</f>
        <v>ดี</v>
      </c>
      <c r="Q7" s="101" t="str">
        <f>IF(ISBLANK(F7),"",IF(ตารางสรุปประเมินความพึงพอใจ!CA11="","",INDEX(ตารางสรุปประเมินความพึงพอใจ!B11:CJ20,MATCH(Macro!F7,ตารางสรุปประเมินความพึงพอใจ!C11:C20,0),78)))</f>
        <v/>
      </c>
      <c r="R7" s="101" t="str">
        <f>IF(ISBLANK(F7),"",IF(ตารางสรุปประเมินความพึงพอใจ!CB11="","",INDEX(ตารางสรุปประเมินความพึงพอใจ!B11:CJ20,MATCH(Macro!F7,ตารางสรุปประเมินความพึงพอใจ!C11:C20,0),79)))</f>
        <v/>
      </c>
      <c r="S7" s="101" t="str">
        <f>IF(ISBLANK(F7),"",IF(ตารางสรุปประเมินความพึงพอใจ!CC11="","",INDEX(ตารางสรุปประเมินความพึงพอใจ!B11:CJ20,MATCH(Macro!F7,ตารางสรุปประเมินความพึงพอใจ!C11:C20,0),80)))</f>
        <v/>
      </c>
      <c r="T7" s="101" t="str">
        <f>IF(ISBLANK(F7),"",IF(ตารางสรุปประเมินความพึงพอใจ!CD11="","",INDEX(ตารางสรุปประเมินความพึงพอใจ!B11:CJ20,MATCH(Macro!F7,ตารางสรุปประเมินความพึงพอใจ!C11:C20,0),81)))</f>
        <v/>
      </c>
      <c r="U7" s="101" t="str">
        <f>IF(ISBLANK(F7),"",IF(ตารางสรุปประเมินความพึงพอใจ!CE11="","",INDEX(ตารางสรุปประเมินความพึงพอใจ!B11:CJ20,MATCH(Macro!F7,ตารางสรุปประเมินความพึงพอใจ!C11:C20,0),82)))</f>
        <v/>
      </c>
      <c r="V7" s="101" t="str">
        <f>IF(ISBLANK($F7),"",IF(ตารางสรุปประเมินความพึงพอใจ!$CF11="","",INDEX(ตารางสรุปประเมินความพึงพอใจ!$B11:$CJ20,MATCH(Macro!$F7,ตารางสรุปประเมินความพึงพอใจ!$C11:$C20,0),83)))</f>
        <v/>
      </c>
      <c r="W7" s="101" t="str">
        <f>IF(ISBLANK($F7),"",IF(ตารางสรุปประเมินความพึงพอใจ!$CG11="","",INDEX(ตารางสรุปประเมินความพึงพอใจ!$B11:$CJ20,MATCH(Macro!$F7,ตารางสรุปประเมินความพึงพอใจ!$C11:$C20,0),84)))</f>
        <v/>
      </c>
      <c r="X7" s="101" t="str">
        <f>IF(ISBLANK($F7),"",IF(ตารางสรุปประเมินความพึงพอใจ!$CH11="","",INDEX(ตารางสรุปประเมินความพึงพอใจ!$B11:$CJ20,MATCH(Macro!$F7,ตารางสรุปประเมินความพึงพอใจ!$C11:$C20,0),85)))</f>
        <v/>
      </c>
      <c r="Y7" s="101" t="str">
        <f>IF(ISBLANK($F7),"",IF(ตารางสรุปประเมินความพึงพอใจ!$CI11="","",INDEX(ตารางสรุปประเมินความพึงพอใจ!$B11:$CJ20,MATCH(Macro!$F7,ตารางสรุปประเมินความพึงพอใจ!$C11:$C20,0),86)))</f>
        <v/>
      </c>
      <c r="Z7" s="83" t="str">
        <f>IF(ISBLANK($F7),"",IF(ตารางสรุปประเมินความพึงพอใจ!$CJ11="","",INDEX(ตารางสรุปประเมินความพึงพอใจ!$B11:$CJ20,MATCH(Macro!$F7,ตารางสรุปประเมินความพึงพอใจ!$C11:$C20,0),87)))</f>
        <v/>
      </c>
    </row>
    <row r="8" spans="1:26" x14ac:dyDescent="0.45">
      <c r="A8" s="91">
        <v>2</v>
      </c>
      <c r="B8" s="97">
        <f ca="1">IF(ISBLANK(ตารางสรุปประเมินความพึงพอใจ!C12),"",OFFSET(ตารางสรุปประเมินความพึงพอใจ!$L$6,0,0))</f>
        <v>5.0000000000000018</v>
      </c>
      <c r="C8" s="98" t="str">
        <f ca="1">IF(ISBLANK(ตารางสรุปประเมินความพึงพอใจ!C12),"",OFFSET(ตารางสรุปประเมินความพึงพอใจ!$V$6,0,0))</f>
        <v>ขอต่อใบอนุญาตตัวแทนประกันวินาศภัยครั้งที่ 4</v>
      </c>
      <c r="D8" s="99">
        <f ca="1">IF(ISBLANK(ตารางสรุปประเมินความพึงพอใจ!C12),"",OFFSET(ตารางสรุปประเมินความพึงพอใจ!$AR$5,0,0))</f>
        <v>42539</v>
      </c>
      <c r="E8" s="99" t="str">
        <f ca="1">IF(ISBLANK(ตารางสรุปประเมินความพึงพอใจ!C12),"",OFFSET(ตารางสรุปประเมินความพึงพอใจ!$BI$6,0,0))</f>
        <v>ชั้น 4 ห้อง 4 สำนักงานใหญ่</v>
      </c>
      <c r="F8" s="139" t="str">
        <f>IF(ISBLANK(ตารางสรุปประเมินความพึงพอใจ!C12),"",ตารางสรุปประเมินความพึงพอใจ!C12)</f>
        <v>คุณเกษม ทดสอบ02</v>
      </c>
      <c r="G8" s="139" t="str">
        <f>IF(ISBLANK(ตารางสรุปประเมินความพึงพอใจ!D12),"",ตารางสรุปประเมินความพึงพอใจ!D12)</f>
        <v>หลักการประกันภัย</v>
      </c>
      <c r="H8" s="100">
        <f>IF(ISBLANK(ตารางสรุปประเมินความพึงพอใจ!E12),"",ตารางสรุปประเมินความพึงพอใจ!E12)</f>
        <v>40</v>
      </c>
      <c r="I8" s="101">
        <f>IF(ISBLANK(F8),"0",IF(ตารางสรุปประเมินความพึงพอใจ!BR12=0,"",INDEX(ตารางสรุปประเมินความพึงพอใจ!B12:CJ21,MATCH(Macro!F8,ตารางสรุปประเมินความพึงพอใจ!C12:C21,0),69)))</f>
        <v>108</v>
      </c>
      <c r="J8" s="101">
        <f>IF(ISBLANK(F8),"0",IF(ตารางสรุปประเมินความพึงพอใจ!BS12=0,"",INDEX(ตารางสรุปประเมินความพึงพอใจ!B12:CJ21,MATCH(Macro!F8,ตารางสรุปประเมินความพึงพอใจ!C12:C21,0),70)))</f>
        <v>120</v>
      </c>
      <c r="K8" s="101">
        <f>IF(ISBLANK(F8),"0",IF(ตารางสรุปประเมินความพึงพอใจ!BT12=0,"",INDEX(ตารางสรุปประเมินความพึงพอใจ!B12:CJ21,MATCH(Macro!F8,ตารางสรุปประเมินความพึงพอใจ!C12:C21,0),71)))</f>
        <v>92</v>
      </c>
      <c r="L8" s="101" t="str">
        <f>IF(ISBLANK(F8),"0",IF(ตารางสรุปประเมินความพึงพอใจ!BU12=0,"",INDEX(ตารางสรุปประเมินความพึงพอใจ!B12:CJ21,MATCH(Macro!F8,ตารางสรุปประเมินความพึงพอใจ!C12:C21,0),72)))</f>
        <v/>
      </c>
      <c r="M8" s="101" t="str">
        <f>IF(ISBLANK(F8),"0",IF(ตารางสรุปประเมินความพึงพอใจ!BV12=0,"",INDEX(ตารางสรุปประเมินความพึงพอใจ!B12:CJ21,MATCH(Macro!F8,ตารางสรุปประเมินความพึงพอใจ!C12:C21,0),73)))</f>
        <v/>
      </c>
      <c r="N8" s="102">
        <f>IF(ISBLANK(F8),"0",IF(ตารางสรุปประเมินความพึงพอใจ!BX12="0","",INDEX(ตารางสรุปประเมินความพึงพอใจ!B12:CJ21,MATCH(Macro!F8,ตารางสรุปประเมินความพึงพอใจ!C12:C21,0),75)))</f>
        <v>4.05</v>
      </c>
      <c r="O8" s="102">
        <f>IF(ISBLANK(F8),"0",IF(ตารางสรุปประเมินความพึงพอใจ!BY12="0","",INDEX(ตารางสรุปประเมินความพึงพอใจ!B12:CJ21,MATCH(Macro!F8,ตารางสรุปประเมินความพึงพอใจ!C12:C21,0),76)))</f>
        <v>0.78898669190297421</v>
      </c>
      <c r="P8" s="101" t="str">
        <f>IF(ISBLANK(F8),"",IF(ตารางสรุปประเมินความพึงพอใจ!BZ12="","",INDEX(ตารางสรุปประเมินความพึงพอใจ!B12:CJ21,MATCH(Macro!F8,ตารางสรุปประเมินความพึงพอใจ!C12:C21,0),77)))</f>
        <v>ดี</v>
      </c>
      <c r="Q8" s="101" t="str">
        <f>IF(ISBLANK(F8),"",IF(ตารางสรุปประเมินความพึงพอใจ!CA12="","",INDEX(ตารางสรุปประเมินความพึงพอใจ!B12:CJ21,MATCH(Macro!F8,ตารางสรุปประเมินความพึงพอใจ!C12:C21,0),78)))</f>
        <v/>
      </c>
      <c r="R8" s="101" t="str">
        <f>IF(ISBLANK(F8),"",IF(ตารางสรุปประเมินความพึงพอใจ!CB12="","",INDEX(ตารางสรุปประเมินความพึงพอใจ!B12:CJ21,MATCH(Macro!F8,ตารางสรุปประเมินความพึงพอใจ!C12:C21,0),79)))</f>
        <v/>
      </c>
      <c r="S8" s="101" t="str">
        <f>IF(ISBLANK(F8),"",IF(ตารางสรุปประเมินความพึงพอใจ!CC12="","",INDEX(ตารางสรุปประเมินความพึงพอใจ!B12:CJ21,MATCH(Macro!F8,ตารางสรุปประเมินความพึงพอใจ!C12:C21,0),80)))</f>
        <v/>
      </c>
      <c r="T8" s="101" t="str">
        <f>IF(ISBLANK(F8),"",IF(ตารางสรุปประเมินความพึงพอใจ!CD12="","",INDEX(ตารางสรุปประเมินความพึงพอใจ!B12:CJ21,MATCH(Macro!F8,ตารางสรุปประเมินความพึงพอใจ!C12:C21,0),81)))</f>
        <v/>
      </c>
      <c r="U8" s="101" t="str">
        <f>IF(ISBLANK(F8),"",IF(ตารางสรุปประเมินความพึงพอใจ!CE12="","",INDEX(ตารางสรุปประเมินความพึงพอใจ!B12:CJ21,MATCH(Macro!F8,ตารางสรุปประเมินความพึงพอใจ!C12:C21,0),82)))</f>
        <v/>
      </c>
      <c r="V8" s="101" t="str">
        <f>IF(ISBLANK($F8),"",IF(ตารางสรุปประเมินความพึงพอใจ!$CF12="","",INDEX(ตารางสรุปประเมินความพึงพอใจ!$B12:$CJ21,MATCH(Macro!$F8,ตารางสรุปประเมินความพึงพอใจ!$C12:$C21,0),83)))</f>
        <v/>
      </c>
      <c r="W8" s="101" t="str">
        <f>IF(ISBLANK($F8),"",IF(ตารางสรุปประเมินความพึงพอใจ!$CG12="","",INDEX(ตารางสรุปประเมินความพึงพอใจ!$B12:$CJ21,MATCH(Macro!$F8,ตารางสรุปประเมินความพึงพอใจ!$C12:$C21,0),84)))</f>
        <v/>
      </c>
      <c r="X8" s="101" t="str">
        <f>IF(ISBLANK($F8),"",IF(ตารางสรุปประเมินความพึงพอใจ!$CH12="","",INDEX(ตารางสรุปประเมินความพึงพอใจ!$B12:$CJ21,MATCH(Macro!$F8,ตารางสรุปประเมินความพึงพอใจ!$C12:$C21,0),85)))</f>
        <v/>
      </c>
      <c r="Y8" s="101" t="str">
        <f>IF(ISBLANK($F8),"",IF(ตารางสรุปประเมินความพึงพอใจ!$CI12="","",INDEX(ตารางสรุปประเมินความพึงพอใจ!$B12:$CJ21,MATCH(Macro!$F8,ตารางสรุปประเมินความพึงพอใจ!$C12:$C21,0),86)))</f>
        <v/>
      </c>
      <c r="Z8" s="83" t="str">
        <f>IF(ISBLANK($F8),"",IF(ตารางสรุปประเมินความพึงพอใจ!$CJ12="","",INDEX(ตารางสรุปประเมินความพึงพอใจ!$B12:$CJ21,MATCH(Macro!$F8,ตารางสรุปประเมินความพึงพอใจ!$C12:$C21,0),87)))</f>
        <v/>
      </c>
    </row>
    <row r="9" spans="1:26" x14ac:dyDescent="0.45">
      <c r="A9" s="91">
        <v>3</v>
      </c>
      <c r="B9" s="97">
        <f ca="1">IF(ISBLANK(ตารางสรุปประเมินความพึงพอใจ!C13),"",OFFSET(ตารางสรุปประเมินความพึงพอใจ!$L$6,0,0))</f>
        <v>5.0000000000000018</v>
      </c>
      <c r="C9" s="98" t="str">
        <f ca="1">IF(ISBLANK(ตารางสรุปประเมินความพึงพอใจ!C13),"",OFFSET(ตารางสรุปประเมินความพึงพอใจ!$V$6,0,0))</f>
        <v>ขอต่อใบอนุญาตตัวแทนประกันวินาศภัยครั้งที่ 4</v>
      </c>
      <c r="D9" s="99">
        <f ca="1">IF(ISBLANK(ตารางสรุปประเมินความพึงพอใจ!C13),"",OFFSET(ตารางสรุปประเมินความพึงพอใจ!$AR$5,0,0))</f>
        <v>42539</v>
      </c>
      <c r="E9" s="99" t="str">
        <f ca="1">IF(ISBLANK(ตารางสรุปประเมินความพึงพอใจ!C13),"",OFFSET(ตารางสรุปประเมินความพึงพอใจ!$BI$6,0,0))</f>
        <v>ชั้น 4 ห้อง 4 สำนักงานใหญ่</v>
      </c>
      <c r="F9" s="139" t="str">
        <f>IF(ISBLANK(ตารางสรุปประเมินความพึงพอใจ!C13),"",ตารางสรุปประเมินความพึงพอใจ!C13)</f>
        <v>คุณเชิดชาย ทดสอบ03</v>
      </c>
      <c r="G9" s="139" t="str">
        <f>IF(ISBLANK(ตารางสรุปประเมินความพึงพอใจ!D13),"",ตารางสรุปประเมินความพึงพอใจ!D13)</f>
        <v>จรรยาบรรณตัวแทน</v>
      </c>
      <c r="H9" s="100">
        <f>IF(ISBLANK(ตารางสรุปประเมินความพึงพอใจ!E13),"",ตารางสรุปประเมินความพึงพอใจ!E13)</f>
        <v>40</v>
      </c>
      <c r="I9" s="101">
        <f>IF(ISBLANK(F9),"0",IF(ตารางสรุปประเมินความพึงพอใจ!BR13=0,"",INDEX(ตารางสรุปประเมินความพึงพอใจ!B13:CJ22,MATCH(Macro!F9,ตารางสรุปประเมินความพึงพอใจ!C13:C22,0),69)))</f>
        <v>140</v>
      </c>
      <c r="J9" s="101">
        <f>IF(ISBLANK(F9),"0",IF(ตารางสรุปประเมินความพึงพอใจ!BS13=0,"",INDEX(ตารางสรุปประเมินความพึงพอใจ!B13:CJ22,MATCH(Macro!F9,ตารางสรุปประเมินความพึงพอใจ!C13:C22,0),70)))</f>
        <v>144</v>
      </c>
      <c r="K9" s="101">
        <f>IF(ISBLANK(F9),"0",IF(ตารางสรุปประเมินความพึงพอใจ!BT13=0,"",INDEX(ตารางสรุปประเมินความพึงพอใจ!B13:CJ22,MATCH(Macro!F9,ตารางสรุปประเมินความพึงพอใจ!C13:C22,0),71)))</f>
        <v>36</v>
      </c>
      <c r="L9" s="101" t="str">
        <f>IF(ISBLANK(F9),"0",IF(ตารางสรุปประเมินความพึงพอใจ!BU13=0,"",INDEX(ตารางสรุปประเมินความพึงพอใจ!B13:CJ22,MATCH(Macro!F9,ตารางสรุปประเมินความพึงพอใจ!C13:C22,0),72)))</f>
        <v/>
      </c>
      <c r="M9" s="101" t="str">
        <f>IF(ISBLANK(F9),"0",IF(ตารางสรุปประเมินความพึงพอใจ!BV13=0,"",INDEX(ตารางสรุปประเมินความพึงพอใจ!B13:CJ22,MATCH(Macro!F9,ตารางสรุปประเมินความพึงพอใจ!C13:C22,0),73)))</f>
        <v/>
      </c>
      <c r="N9" s="102">
        <f>IF(ISBLANK(F9),"0",IF(ตารางสรุปประเมินความพึงพอใจ!BX13="0","",INDEX(ตารางสรุปประเมินความพึงพอใจ!B13:CJ22,MATCH(Macro!F9,ตารางสรุปประเมินความพึงพอใจ!C13:C22,0),75)))</f>
        <v>4.3250000000000002</v>
      </c>
      <c r="O9" s="102">
        <f>IF(ISBLANK(F9),"0",IF(ตารางสรุปประเมินความพึงพอใจ!BY13="0","",INDEX(ตารางสรุปประเมินความพึงพอใจ!B13:CJ22,MATCH(Macro!F9,ตารางสรุปประเมินความพึงพอใจ!C13:C22,0),76)))</f>
        <v>0.66661458129866713</v>
      </c>
      <c r="P9" s="101" t="str">
        <f>IF(ISBLANK(F9),"",IF(ตารางสรุปประเมินความพึงพอใจ!BZ13="","",INDEX(ตารางสรุปประเมินความพึงพอใจ!B13:CJ22,MATCH(Macro!F9,ตารางสรุปประเมินความพึงพอใจ!C13:C22,0),77)))</f>
        <v>ดี</v>
      </c>
      <c r="Q9" s="101" t="str">
        <f>IF(ISBLANK(F9),"",IF(ตารางสรุปประเมินความพึงพอใจ!CA13="","",INDEX(ตารางสรุปประเมินความพึงพอใจ!B13:CJ22,MATCH(Macro!F9,ตารางสรุปประเมินความพึงพอใจ!C13:C22,0),78)))</f>
        <v/>
      </c>
      <c r="R9" s="101" t="str">
        <f>IF(ISBLANK(F9),"",IF(ตารางสรุปประเมินความพึงพอใจ!CB13="","",INDEX(ตารางสรุปประเมินความพึงพอใจ!B13:CJ22,MATCH(Macro!F9,ตารางสรุปประเมินความพึงพอใจ!C13:C22,0),79)))</f>
        <v/>
      </c>
      <c r="S9" s="101" t="str">
        <f>IF(ISBLANK(F9),"",IF(ตารางสรุปประเมินความพึงพอใจ!CC13="","",INDEX(ตารางสรุปประเมินความพึงพอใจ!B13:CJ22,MATCH(Macro!F9,ตารางสรุปประเมินความพึงพอใจ!C13:C22,0),80)))</f>
        <v/>
      </c>
      <c r="T9" s="101" t="str">
        <f>IF(ISBLANK(F9),"",IF(ตารางสรุปประเมินความพึงพอใจ!CD13="","",INDEX(ตารางสรุปประเมินความพึงพอใจ!B13:CJ22,MATCH(Macro!F9,ตารางสรุปประเมินความพึงพอใจ!C13:C22,0),81)))</f>
        <v/>
      </c>
      <c r="U9" s="101" t="str">
        <f>IF(ISBLANK(F9),"",IF(ตารางสรุปประเมินความพึงพอใจ!CE13="","",INDEX(ตารางสรุปประเมินความพึงพอใจ!B13:CJ22,MATCH(Macro!F9,ตารางสรุปประเมินความพึงพอใจ!C13:C22,0),82)))</f>
        <v/>
      </c>
      <c r="V9" s="101" t="str">
        <f>IF(ISBLANK($F9),"",IF(ตารางสรุปประเมินความพึงพอใจ!$CF13="","",INDEX(ตารางสรุปประเมินความพึงพอใจ!$B13:$CJ22,MATCH(Macro!$F9,ตารางสรุปประเมินความพึงพอใจ!$C13:$C22,0),83)))</f>
        <v/>
      </c>
      <c r="W9" s="101" t="str">
        <f>IF(ISBLANK($F9),"",IF(ตารางสรุปประเมินความพึงพอใจ!$CG13="","",INDEX(ตารางสรุปประเมินความพึงพอใจ!$B13:$CJ22,MATCH(Macro!$F9,ตารางสรุปประเมินความพึงพอใจ!$C13:$C22,0),84)))</f>
        <v/>
      </c>
      <c r="X9" s="101" t="str">
        <f>IF(ISBLANK($F9),"",IF(ตารางสรุปประเมินความพึงพอใจ!$CH13="","",INDEX(ตารางสรุปประเมินความพึงพอใจ!$B13:$CJ22,MATCH(Macro!$F9,ตารางสรุปประเมินความพึงพอใจ!$C13:$C22,0),85)))</f>
        <v/>
      </c>
      <c r="Y9" s="101" t="str">
        <f>IF(ISBLANK($F9),"",IF(ตารางสรุปประเมินความพึงพอใจ!$CI13="","",INDEX(ตารางสรุปประเมินความพึงพอใจ!$B13:$CJ22,MATCH(Macro!$F9,ตารางสรุปประเมินความพึงพอใจ!$C13:$C22,0),86)))</f>
        <v/>
      </c>
      <c r="Z9" s="83" t="str">
        <f>IF(ISBLANK($F9),"",IF(ตารางสรุปประเมินความพึงพอใจ!$CJ13="","",INDEX(ตารางสรุปประเมินความพึงพอใจ!$B13:$CJ22,MATCH(Macro!$F9,ตารางสรุปประเมินความพึงพอใจ!$C13:$C22,0),87)))</f>
        <v/>
      </c>
    </row>
    <row r="10" spans="1:26" x14ac:dyDescent="0.45">
      <c r="A10" s="91">
        <v>4</v>
      </c>
      <c r="B10" s="97">
        <f ca="1">IF(ISBLANK(ตารางสรุปประเมินความพึงพอใจ!C14),"",OFFSET(ตารางสรุปประเมินความพึงพอใจ!$L$6,0,0))</f>
        <v>5.0000000000000018</v>
      </c>
      <c r="C10" s="98" t="str">
        <f ca="1">IF(ISBLANK(ตารางสรุปประเมินความพึงพอใจ!C14),"",OFFSET(ตารางสรุปประเมินความพึงพอใจ!$V$6,0,0))</f>
        <v>ขอต่อใบอนุญาตตัวแทนประกันวินาศภัยครั้งที่ 4</v>
      </c>
      <c r="D10" s="99">
        <f ca="1">IF(ISBLANK(ตารางสรุปประเมินความพึงพอใจ!C14),"",OFFSET(ตารางสรุปประเมินความพึงพอใจ!$AR$5,0,0))</f>
        <v>42539</v>
      </c>
      <c r="E10" s="99" t="str">
        <f ca="1">IF(ISBLANK(ตารางสรุปประเมินความพึงพอใจ!C14),"",OFFSET(ตารางสรุปประเมินความพึงพอใจ!$BI$6,0,0))</f>
        <v>ชั้น 4 ห้อง 4 สำนักงานใหญ่</v>
      </c>
      <c r="F10" s="139" t="str">
        <f>IF(ISBLANK(ตารางสรุปประเมินความพึงพอใจ!C14),"",ตารางสรุปประเมินความพึงพอใจ!C14)</f>
        <v>คุณนงนารถ ทดสอบ08</v>
      </c>
      <c r="G10" s="139" t="str">
        <f>IF(ISBLANK(ตารางสรุปประเมินความพึงพอใจ!D14),"",ตารางสรุปประเมินความพึงพอใจ!D14)</f>
        <v>เทคนิคการขายประกันภัย</v>
      </c>
      <c r="H10" s="100">
        <f>IF(ISBLANK(ตารางสรุปประเมินความพึงพอใจ!E14),"",ตารางสรุปประเมินความพึงพอใจ!E14)</f>
        <v>40</v>
      </c>
      <c r="I10" s="101">
        <f>IF(ISBLANK(F10),"0",IF(ตารางสรุปประเมินความพึงพอใจ!BR14=0,"",INDEX(ตารางสรุปประเมินความพึงพอใจ!B14:CJ23,MATCH(Macro!F10,ตารางสรุปประเมินความพึงพอใจ!C14:C23,0),69)))</f>
        <v>164</v>
      </c>
      <c r="J10" s="101">
        <f>IF(ISBLANK(F10),"0",IF(ตารางสรุปประเมินความพึงพอใจ!BS14=0,"",INDEX(ตารางสรุปประเมินความพึงพอใจ!B14:CJ23,MATCH(Macro!F10,ตารางสรุปประเมินความพึงพอใจ!C14:C23,0),70)))</f>
        <v>136</v>
      </c>
      <c r="K10" s="101">
        <f>IF(ISBLANK(F10),"0",IF(ตารางสรุปประเมินความพึงพอใจ!BT14=0,"",INDEX(ตารางสรุปประเมินความพึงพอใจ!B14:CJ23,MATCH(Macro!F10,ตารางสรุปประเมินความพึงพอใจ!C14:C23,0),71)))</f>
        <v>20</v>
      </c>
      <c r="L10" s="101" t="str">
        <f>IF(ISBLANK(F10),"0",IF(ตารางสรุปประเมินความพึงพอใจ!BU14=0,"",INDEX(ตารางสรุปประเมินความพึงพอใจ!B14:CJ23,MATCH(Macro!F10,ตารางสรุปประเมินความพึงพอใจ!C14:C23,0),72)))</f>
        <v/>
      </c>
      <c r="M10" s="101" t="str">
        <f>IF(ISBLANK(F10),"0",IF(ตารางสรุปประเมินความพึงพอใจ!BV14=0,"",INDEX(ตารางสรุปประเมินความพึงพอใจ!B14:CJ23,MATCH(Macro!F10,ตารางสรุปประเมินความพึงพอใจ!C14:C23,0),73)))</f>
        <v/>
      </c>
      <c r="N10" s="102">
        <f>IF(ISBLANK(F10),"0",IF(ตารางสรุปประเมินความพึงพอใจ!BX14="0","",INDEX(ตารางสรุปประเมินความพึงพอใจ!B14:CJ23,MATCH(Macro!F10,ตารางสรุปประเมินความพึงพอใจ!C14:C23,0),75)))</f>
        <v>4.45</v>
      </c>
      <c r="O10" s="102">
        <f>IF(ISBLANK(F10),"0",IF(ตารางสรุปประเมินความพึงพอใจ!BY14="0","",INDEX(ตารางสรุปประเมินความพึงพอใจ!B14:CJ23,MATCH(Macro!F10,ตารางสรุปประเมินความพึงพอใจ!C14:C23,0),76)))</f>
        <v>0.61032778078668415</v>
      </c>
      <c r="P10" s="101" t="str">
        <f>IF(ISBLANK(F10),"",IF(ตารางสรุปประเมินความพึงพอใจ!BZ14="","",INDEX(ตารางสรุปประเมินความพึงพอใจ!B14:CJ23,MATCH(Macro!F10,ตารางสรุปประเมินความพึงพอใจ!C14:C23,0),77)))</f>
        <v>ดี</v>
      </c>
      <c r="Q10" s="101" t="str">
        <f>IF(ISBLANK(F10),"",IF(ตารางสรุปประเมินความพึงพอใจ!CA14="","",INDEX(ตารางสรุปประเมินความพึงพอใจ!B14:CJ23,MATCH(Macro!F10,ตารางสรุปประเมินความพึงพอใจ!C14:C23,0),78)))</f>
        <v/>
      </c>
      <c r="R10" s="101" t="str">
        <f>IF(ISBLANK(F10),"",IF(ตารางสรุปประเมินความพึงพอใจ!CB14="","",INDEX(ตารางสรุปประเมินความพึงพอใจ!B14:CJ23,MATCH(Macro!F10,ตารางสรุปประเมินความพึงพอใจ!C14:C23,0),79)))</f>
        <v/>
      </c>
      <c r="S10" s="101" t="str">
        <f>IF(ISBLANK(F10),"",IF(ตารางสรุปประเมินความพึงพอใจ!CC14="","",INDEX(ตารางสรุปประเมินความพึงพอใจ!B14:CJ23,MATCH(Macro!F10,ตารางสรุปประเมินความพึงพอใจ!C14:C23,0),80)))</f>
        <v/>
      </c>
      <c r="T10" s="101" t="str">
        <f>IF(ISBLANK(F10),"",IF(ตารางสรุปประเมินความพึงพอใจ!CD14="","",INDEX(ตารางสรุปประเมินความพึงพอใจ!B14:CJ23,MATCH(Macro!F10,ตารางสรุปประเมินความพึงพอใจ!C14:C23,0),81)))</f>
        <v/>
      </c>
      <c r="U10" s="101" t="str">
        <f>IF(ISBLANK(F10),"",IF(ตารางสรุปประเมินความพึงพอใจ!CE14="","",INDEX(ตารางสรุปประเมินความพึงพอใจ!B14:CJ23,MATCH(Macro!F10,ตารางสรุปประเมินความพึงพอใจ!C14:C23,0),82)))</f>
        <v/>
      </c>
      <c r="V10" s="101" t="str">
        <f>IF(ISBLANK($F10),"",IF(ตารางสรุปประเมินความพึงพอใจ!$CF14="","",INDEX(ตารางสรุปประเมินความพึงพอใจ!$B14:$CJ23,MATCH(Macro!$F10,ตารางสรุปประเมินความพึงพอใจ!$C14:$C23,0),83)))</f>
        <v/>
      </c>
      <c r="W10" s="101" t="str">
        <f>IF(ISBLANK($F10),"",IF(ตารางสรุปประเมินความพึงพอใจ!$CG14="","",INDEX(ตารางสรุปประเมินความพึงพอใจ!$B14:$CJ23,MATCH(Macro!$F10,ตารางสรุปประเมินความพึงพอใจ!$C14:$C23,0),84)))</f>
        <v/>
      </c>
      <c r="X10" s="101" t="str">
        <f>IF(ISBLANK($F10),"",IF(ตารางสรุปประเมินความพึงพอใจ!$CH14="","",INDEX(ตารางสรุปประเมินความพึงพอใจ!$B14:$CJ23,MATCH(Macro!$F10,ตารางสรุปประเมินความพึงพอใจ!$C14:$C23,0),85)))</f>
        <v/>
      </c>
      <c r="Y10" s="101" t="str">
        <f>IF(ISBLANK($F10),"",IF(ตารางสรุปประเมินความพึงพอใจ!$CI14="","",INDEX(ตารางสรุปประเมินความพึงพอใจ!$B14:$CJ23,MATCH(Macro!$F10,ตารางสรุปประเมินความพึงพอใจ!$C14:$C23,0),86)))</f>
        <v/>
      </c>
      <c r="Z10" s="83" t="str">
        <f>IF(ISBLANK($F10),"",IF(ตารางสรุปประเมินความพึงพอใจ!$CJ14="","",INDEX(ตารางสรุปประเมินความพึงพอใจ!$B14:$CJ23,MATCH(Macro!$F10,ตารางสรุปประเมินความพึงพอใจ!$C14:$C23,0),87)))</f>
        <v/>
      </c>
    </row>
    <row r="11" spans="1:26" x14ac:dyDescent="0.45">
      <c r="A11" s="91">
        <v>5</v>
      </c>
      <c r="B11" s="97">
        <f ca="1">IF(ISBLANK(ตารางสรุปประเมินความพึงพอใจ!C15),"",OFFSET(ตารางสรุปประเมินความพึงพอใจ!$L$6,0,0))</f>
        <v>5.0000000000000018</v>
      </c>
      <c r="C11" s="98" t="str">
        <f ca="1">IF(ISBLANK(ตารางสรุปประเมินความพึงพอใจ!C15),"",OFFSET(ตารางสรุปประเมินความพึงพอใจ!$V$6,0,0))</f>
        <v>ขอต่อใบอนุญาตตัวแทนประกันวินาศภัยครั้งที่ 4</v>
      </c>
      <c r="D11" s="99">
        <f ca="1">IF(ISBLANK(ตารางสรุปประเมินความพึงพอใจ!C15),"",OFFSET(ตารางสรุปประเมินความพึงพอใจ!$AR$5,0,0))</f>
        <v>42539</v>
      </c>
      <c r="E11" s="99" t="str">
        <f ca="1">IF(ISBLANK(ตารางสรุปประเมินความพึงพอใจ!C15),"",OFFSET(ตารางสรุปประเมินความพึงพอใจ!$BI$6,0,0))</f>
        <v>ชั้น 4 ห้อง 4 สำนักงานใหญ่</v>
      </c>
      <c r="F11" s="139" t="str">
        <f>IF(ISBLANK(ตารางสรุปประเมินความพึงพอใจ!C15),"",ตารางสรุปประเมินความพึงพอใจ!C15)</f>
        <v>คุณวารี ทดสอบ24</v>
      </c>
      <c r="G11" s="139" t="str">
        <f>IF(ISBLANK(ตารางสรุปประเมินความพึงพอใจ!D15),"",ตารางสรุปประเมินความพึงพอใจ!D15)</f>
        <v>การจูงใจและจิตวิทยาการขาย</v>
      </c>
      <c r="H11" s="100">
        <f>IF(ISBLANK(ตารางสรุปประเมินความพึงพอใจ!E15),"",ตารางสรุปประเมินความพึงพอใจ!E15)</f>
        <v>40</v>
      </c>
      <c r="I11" s="101">
        <f>IF(ISBLANK(F11),"0",IF(ตารางสรุปประเมินความพึงพอใจ!BR15=0,"",INDEX(ตารางสรุปประเมินความพึงพอใจ!B15:CJ24,MATCH(Macro!F11,ตารางสรุปประเมินความพึงพอใจ!C15:C24,0),69)))</f>
        <v>100</v>
      </c>
      <c r="J11" s="101">
        <f>IF(ISBLANK(F11),"0",IF(ตารางสรุปประเมินความพึงพอใจ!BS15=0,"",INDEX(ตารางสรุปประเมินความพึงพอใจ!B15:CJ24,MATCH(Macro!F11,ตารางสรุปประเมินความพึงพอใจ!C15:C24,0),70)))</f>
        <v>132</v>
      </c>
      <c r="K11" s="101">
        <f>IF(ISBLANK(F11),"0",IF(ตารางสรุปประเมินความพึงพอใจ!BT15=0,"",INDEX(ตารางสรุปประเมินความพึงพอใจ!B15:CJ24,MATCH(Macro!F11,ตารางสรุปประเมินความพึงพอใจ!C15:C24,0),71)))</f>
        <v>88</v>
      </c>
      <c r="L11" s="101" t="str">
        <f>IF(ISBLANK(F11),"0",IF(ตารางสรุปประเมินความพึงพอใจ!BU15=0,"",INDEX(ตารางสรุปประเมินความพึงพอใจ!B15:CJ24,MATCH(Macro!F11,ตารางสรุปประเมินความพึงพอใจ!C15:C24,0),72)))</f>
        <v/>
      </c>
      <c r="M11" s="101" t="str">
        <f>IF(ISBLANK(F11),"0",IF(ตารางสรุปประเมินความพึงพอใจ!BV15=0,"",INDEX(ตารางสรุปประเมินความพึงพอใจ!B15:CJ24,MATCH(Macro!F11,ตารางสรุปประเมินความพึงพอใจ!C15:C24,0),73)))</f>
        <v/>
      </c>
      <c r="N11" s="102">
        <f>IF(ISBLANK(F11),"0",IF(ตารางสรุปประเมินความพึงพอใจ!BX15="0","",INDEX(ตารางสรุปประเมินความพึงพอใจ!B15:CJ24,MATCH(Macro!F11,ตารางสรุปประเมินความพึงพอใจ!C15:C24,0),75)))</f>
        <v>4.0374999999999996</v>
      </c>
      <c r="O11" s="102">
        <f>IF(ISBLANK(F11),"0",IF(ตารางสรุปประเมินความพึงพอใจ!BY15="0","",INDEX(ตารางสรุปประเมินความพึงพอใจ!B15:CJ24,MATCH(Macro!F11,ตารางสรุปประเมินความพึงพอใจ!C15:C24,0),76)))</f>
        <v>0.76556759988913026</v>
      </c>
      <c r="P11" s="101" t="str">
        <f>IF(ISBLANK(F11),"",IF(ตารางสรุปประเมินความพึงพอใจ!BZ15="","",INDEX(ตารางสรุปประเมินความพึงพอใจ!B15:CJ24,MATCH(Macro!F11,ตารางสรุปประเมินความพึงพอใจ!C15:C24,0),77)))</f>
        <v>ดี</v>
      </c>
      <c r="Q11" s="101" t="str">
        <f>IF(ISBLANK(F11),"",IF(ตารางสรุปประเมินความพึงพอใจ!CA15="","",INDEX(ตารางสรุปประเมินความพึงพอใจ!B15:CJ24,MATCH(Macro!F11,ตารางสรุปประเมินความพึงพอใจ!C15:C24,0),78)))</f>
        <v/>
      </c>
      <c r="R11" s="101" t="str">
        <f>IF(ISBLANK(F11),"",IF(ตารางสรุปประเมินความพึงพอใจ!CB15="","",INDEX(ตารางสรุปประเมินความพึงพอใจ!B15:CJ24,MATCH(Macro!F11,ตารางสรุปประเมินความพึงพอใจ!C15:C24,0),79)))</f>
        <v/>
      </c>
      <c r="S11" s="101" t="str">
        <f>IF(ISBLANK(F11),"",IF(ตารางสรุปประเมินความพึงพอใจ!CC15="","",INDEX(ตารางสรุปประเมินความพึงพอใจ!B15:CJ24,MATCH(Macro!F11,ตารางสรุปประเมินความพึงพอใจ!C15:C24,0),80)))</f>
        <v/>
      </c>
      <c r="T11" s="101" t="str">
        <f>IF(ISBLANK(F11),"",IF(ตารางสรุปประเมินความพึงพอใจ!CD15="","",INDEX(ตารางสรุปประเมินความพึงพอใจ!B15:CJ24,MATCH(Macro!F11,ตารางสรุปประเมินความพึงพอใจ!C15:C24,0),81)))</f>
        <v/>
      </c>
      <c r="U11" s="101" t="str">
        <f>IF(ISBLANK(F11),"",IF(ตารางสรุปประเมินความพึงพอใจ!CE15="","",INDEX(ตารางสรุปประเมินความพึงพอใจ!B15:CJ24,MATCH(Macro!F11,ตารางสรุปประเมินความพึงพอใจ!C15:C24,0),82)))</f>
        <v/>
      </c>
      <c r="V11" s="101" t="str">
        <f>IF(ISBLANK($F11),"",IF(ตารางสรุปประเมินความพึงพอใจ!$CF15="","",INDEX(ตารางสรุปประเมินความพึงพอใจ!$B15:$CJ24,MATCH(Macro!$F11,ตารางสรุปประเมินความพึงพอใจ!$C15:$C24,0),83)))</f>
        <v/>
      </c>
      <c r="W11" s="101" t="str">
        <f>IF(ISBLANK($F11),"",IF(ตารางสรุปประเมินความพึงพอใจ!$CG15="","",INDEX(ตารางสรุปประเมินความพึงพอใจ!$B15:$CJ24,MATCH(Macro!$F11,ตารางสรุปประเมินความพึงพอใจ!$C15:$C24,0),84)))</f>
        <v/>
      </c>
      <c r="X11" s="101" t="str">
        <f>IF(ISBLANK($F11),"",IF(ตารางสรุปประเมินความพึงพอใจ!$CH15="","",INDEX(ตารางสรุปประเมินความพึงพอใจ!$B15:$CJ24,MATCH(Macro!$F11,ตารางสรุปประเมินความพึงพอใจ!$C15:$C24,0),85)))</f>
        <v/>
      </c>
      <c r="Y11" s="101" t="str">
        <f>IF(ISBLANK($F11),"",IF(ตารางสรุปประเมินความพึงพอใจ!$CI15="","",INDEX(ตารางสรุปประเมินความพึงพอใจ!$B15:$CJ24,MATCH(Macro!$F11,ตารางสรุปประเมินความพึงพอใจ!$C15:$C24,0),86)))</f>
        <v/>
      </c>
      <c r="Z11" s="83" t="str">
        <f>IF(ISBLANK($F11),"",IF(ตารางสรุปประเมินความพึงพอใจ!$CJ15="","",INDEX(ตารางสรุปประเมินความพึงพอใจ!$B15:$CJ24,MATCH(Macro!$F11,ตารางสรุปประเมินความพึงพอใจ!$C15:$C24,0),87)))</f>
        <v/>
      </c>
    </row>
    <row r="12" spans="1:26" x14ac:dyDescent="0.45">
      <c r="A12" s="91">
        <v>6</v>
      </c>
      <c r="B12" s="97">
        <f ca="1">IF(ISBLANK(ตารางสรุปประเมินความพึงพอใจ!C16),"",OFFSET(ตารางสรุปประเมินความพึงพอใจ!$L$6,0,0))</f>
        <v>5.0000000000000018</v>
      </c>
      <c r="C12" s="98" t="str">
        <f ca="1">IF(ISBLANK(ตารางสรุปประเมินความพึงพอใจ!C16),"",OFFSET(ตารางสรุปประเมินความพึงพอใจ!$V$6,0,0))</f>
        <v>ขอต่อใบอนุญาตตัวแทนประกันวินาศภัยครั้งที่ 4</v>
      </c>
      <c r="D12" s="99">
        <f ca="1">IF(ISBLANK(ตารางสรุปประเมินความพึงพอใจ!C16),"",OFFSET(ตารางสรุปประเมินความพึงพอใจ!$AR$5,0,0))</f>
        <v>42539</v>
      </c>
      <c r="E12" s="99" t="str">
        <f ca="1">IF(ISBLANK(ตารางสรุปประเมินความพึงพอใจ!C16),"",OFFSET(ตารางสรุปประเมินความพึงพอใจ!$BI$6,0,0))</f>
        <v>ชั้น 4 ห้อง 4 สำนักงานใหญ่</v>
      </c>
      <c r="F12" s="139" t="str">
        <f>IF(ISBLANK(ตารางสรุปประเมินความพึงพอใจ!C16),"",ตารางสรุปประเมินความพึงพอใจ!C16)</f>
        <v>คุณธัชพล ทดสอบ06</v>
      </c>
      <c r="G12" s="139" t="str">
        <f>IF(ISBLANK(ตารางสรุปประเมินความพึงพอใจ!D16),"",ตารางสรุปประเมินความพึงพอใจ!D16)</f>
        <v>ประกันอัคคีภัย</v>
      </c>
      <c r="H12" s="100">
        <f>IF(ISBLANK(ตารางสรุปประเมินความพึงพอใจ!E16),"",ตารางสรุปประเมินความพึงพอใจ!E16)</f>
        <v>40</v>
      </c>
      <c r="I12" s="101">
        <f>IF(ISBLANK(F12),"0",IF(ตารางสรุปประเมินความพึงพอใจ!BR16=0,"",INDEX(ตารางสรุปประเมินความพึงพอใจ!B16:CJ25,MATCH(Macro!F12,ตารางสรุปประเมินความพึงพอใจ!C16:C25,0),69)))</f>
        <v>100</v>
      </c>
      <c r="J12" s="101">
        <f>IF(ISBLANK(F12),"0",IF(ตารางสรุปประเมินความพึงพอใจ!BS16=0,"",INDEX(ตารางสรุปประเมินความพึงพอใจ!B16:CJ25,MATCH(Macro!F12,ตารางสรุปประเมินความพึงพอใจ!C16:C25,0),70)))</f>
        <v>132</v>
      </c>
      <c r="K12" s="101">
        <f>IF(ISBLANK(F12),"0",IF(ตารางสรุปประเมินความพึงพอใจ!BT16=0,"",INDEX(ตารางสรุปประเมินความพึงพอใจ!B16:CJ25,MATCH(Macro!F12,ตารางสรุปประเมินความพึงพอใจ!C16:C25,0),71)))</f>
        <v>88</v>
      </c>
      <c r="L12" s="101" t="str">
        <f>IF(ISBLANK(F12),"0",IF(ตารางสรุปประเมินความพึงพอใจ!BU16=0,"",INDEX(ตารางสรุปประเมินความพึงพอใจ!B16:CJ25,MATCH(Macro!F12,ตารางสรุปประเมินความพึงพอใจ!C16:C25,0),72)))</f>
        <v/>
      </c>
      <c r="M12" s="101" t="str">
        <f>IF(ISBLANK(F12),"0",IF(ตารางสรุปประเมินความพึงพอใจ!BV16=0,"",INDEX(ตารางสรุปประเมินความพึงพอใจ!B16:CJ25,MATCH(Macro!F12,ตารางสรุปประเมินความพึงพอใจ!C16:C25,0),73)))</f>
        <v/>
      </c>
      <c r="N12" s="102">
        <f>IF(ISBLANK(F12),"0",IF(ตารางสรุปประเมินความพึงพอใจ!BX16="0","",INDEX(ตารางสรุปประเมินความพึงพอใจ!B16:CJ25,MATCH(Macro!F12,ตารางสรุปประเมินความพึงพอใจ!C16:C25,0),75)))</f>
        <v>4.0374999999999996</v>
      </c>
      <c r="O12" s="102">
        <f>IF(ISBLANK(F12),"0",IF(ตารางสรุปประเมินความพึงพอใจ!BY16="0","",INDEX(ตารางสรุปประเมินความพึงพอใจ!B16:CJ25,MATCH(Macro!F12,ตารางสรุปประเมินความพึงพอใจ!C16:C25,0),76)))</f>
        <v>0.76556759988913026</v>
      </c>
      <c r="P12" s="101" t="str">
        <f>IF(ISBLANK(F12),"",IF(ตารางสรุปประเมินความพึงพอใจ!BZ16="","",INDEX(ตารางสรุปประเมินความพึงพอใจ!B16:CJ25,MATCH(Macro!F12,ตารางสรุปประเมินความพึงพอใจ!C16:C25,0),77)))</f>
        <v>ดี</v>
      </c>
      <c r="Q12" s="101" t="str">
        <f>IF(ISBLANK(F12),"",IF(ตารางสรุปประเมินความพึงพอใจ!CA16="","",INDEX(ตารางสรุปประเมินความพึงพอใจ!B16:CJ25,MATCH(Macro!F12,ตารางสรุปประเมินความพึงพอใจ!C16:C25,0),78)))</f>
        <v/>
      </c>
      <c r="R12" s="101" t="str">
        <f>IF(ISBLANK(F12),"",IF(ตารางสรุปประเมินความพึงพอใจ!CB16="","",INDEX(ตารางสรุปประเมินความพึงพอใจ!B16:CJ25,MATCH(Macro!F12,ตารางสรุปประเมินความพึงพอใจ!C16:C25,0),79)))</f>
        <v/>
      </c>
      <c r="S12" s="101" t="str">
        <f>IF(ISBLANK(F12),"",IF(ตารางสรุปประเมินความพึงพอใจ!CC16="","",INDEX(ตารางสรุปประเมินความพึงพอใจ!B16:CJ25,MATCH(Macro!F12,ตารางสรุปประเมินความพึงพอใจ!C16:C25,0),80)))</f>
        <v/>
      </c>
      <c r="T12" s="101" t="str">
        <f>IF(ISBLANK(F12),"",IF(ตารางสรุปประเมินความพึงพอใจ!CD16="","",INDEX(ตารางสรุปประเมินความพึงพอใจ!B16:CJ25,MATCH(Macro!F12,ตารางสรุปประเมินความพึงพอใจ!C16:C25,0),81)))</f>
        <v/>
      </c>
      <c r="U12" s="101" t="str">
        <f>IF(ISBLANK(F12),"",IF(ตารางสรุปประเมินความพึงพอใจ!CE16="","",INDEX(ตารางสรุปประเมินความพึงพอใจ!B16:CJ25,MATCH(Macro!F12,ตารางสรุปประเมินความพึงพอใจ!C16:C25,0),82)))</f>
        <v/>
      </c>
      <c r="V12" s="101" t="str">
        <f>IF(ISBLANK($F12),"",IF(ตารางสรุปประเมินความพึงพอใจ!$CF16="","",INDEX(ตารางสรุปประเมินความพึงพอใจ!$B16:$CJ25,MATCH(Macro!$F12,ตารางสรุปประเมินความพึงพอใจ!$C16:$C25,0),83)))</f>
        <v/>
      </c>
      <c r="W12" s="101" t="str">
        <f>IF(ISBLANK($F12),"",IF(ตารางสรุปประเมินความพึงพอใจ!$CG16="","",INDEX(ตารางสรุปประเมินความพึงพอใจ!$B16:$CJ25,MATCH(Macro!$F12,ตารางสรุปประเมินความพึงพอใจ!$C16:$C25,0),84)))</f>
        <v/>
      </c>
      <c r="X12" s="101" t="str">
        <f>IF(ISBLANK($F12),"",IF(ตารางสรุปประเมินความพึงพอใจ!$CH16="","",INDEX(ตารางสรุปประเมินความพึงพอใจ!$B16:$CJ25,MATCH(Macro!$F12,ตารางสรุปประเมินความพึงพอใจ!$C16:$C25,0),85)))</f>
        <v/>
      </c>
      <c r="Y12" s="101" t="str">
        <f>IF(ISBLANK($F12),"",IF(ตารางสรุปประเมินความพึงพอใจ!$CI16="","",INDEX(ตารางสรุปประเมินความพึงพอใจ!$B16:$CJ25,MATCH(Macro!$F12,ตารางสรุปประเมินความพึงพอใจ!$C16:$C25,0),86)))</f>
        <v/>
      </c>
      <c r="Z12" s="83" t="str">
        <f>IF(ISBLANK($F12),"",IF(ตารางสรุปประเมินความพึงพอใจ!$CJ16="","",INDEX(ตารางสรุปประเมินความพึงพอใจ!$B16:$CJ25,MATCH(Macro!$F12,ตารางสรุปประเมินความพึงพอใจ!$C16:$C25,0),87)))</f>
        <v/>
      </c>
    </row>
    <row r="13" spans="1:26" x14ac:dyDescent="0.45">
      <c r="A13" s="91">
        <v>7</v>
      </c>
      <c r="B13" s="97">
        <f ca="1">IF(ISBLANK(ตารางสรุปประเมินความพึงพอใจ!C17),"",OFFSET(ตารางสรุปประเมินความพึงพอใจ!$L$6,0,0))</f>
        <v>5.0000000000000018</v>
      </c>
      <c r="C13" s="98" t="str">
        <f ca="1">IF(ISBLANK(ตารางสรุปประเมินความพึงพอใจ!C17),"",OFFSET(ตารางสรุปประเมินความพึงพอใจ!$V$6,0,0))</f>
        <v>ขอต่อใบอนุญาตตัวแทนประกันวินาศภัยครั้งที่ 4</v>
      </c>
      <c r="D13" s="99">
        <f ca="1">IF(ISBLANK(ตารางสรุปประเมินความพึงพอใจ!C17),"",OFFSET(ตารางสรุปประเมินความพึงพอใจ!$AR$5,0,0))</f>
        <v>42539</v>
      </c>
      <c r="E13" s="99" t="str">
        <f ca="1">IF(ISBLANK(ตารางสรุปประเมินความพึงพอใจ!C17),"",OFFSET(ตารางสรุปประเมินความพึงพอใจ!$BI$6,0,0))</f>
        <v>ชั้น 4 ห้อง 4 สำนักงานใหญ่</v>
      </c>
      <c r="F13" s="139" t="str">
        <f>IF(ISBLANK(ตารางสรุปประเมินความพึงพอใจ!C17),"",ตารางสรุปประเมินความพึงพอใจ!C17)</f>
        <v>คุณศศธร ทดสอบ28</v>
      </c>
      <c r="G13" s="139" t="str">
        <f>IF(ISBLANK(ตารางสรุปประเมินความพึงพอใจ!D17),"",ตารางสรุปประเมินความพึงพอใจ!D17)</f>
        <v>ประกันภัยเบ็ดเตล็ด</v>
      </c>
      <c r="H13" s="100">
        <f>IF(ISBLANK(ตารางสรุปประเมินความพึงพอใจ!E17),"",ตารางสรุปประเมินความพึงพอใจ!E17)</f>
        <v>40</v>
      </c>
      <c r="I13" s="101">
        <f>IF(ISBLANK(F13),"0",IF(ตารางสรุปประเมินความพึงพอใจ!BR17=0,"",INDEX(ตารางสรุปประเมินความพึงพอใจ!B17:CJ26,MATCH(Macro!F13,ตารางสรุปประเมินความพึงพอใจ!C17:C26,0),69)))</f>
        <v>164</v>
      </c>
      <c r="J13" s="101">
        <f>IF(ISBLANK(F13),"0",IF(ตารางสรุปประเมินความพึงพอใจ!BS17=0,"",INDEX(ตารางสรุปประเมินความพึงพอใจ!B17:CJ26,MATCH(Macro!F13,ตารางสรุปประเมินความพึงพอใจ!C17:C26,0),70)))</f>
        <v>136</v>
      </c>
      <c r="K13" s="101">
        <f>IF(ISBLANK(F13),"0",IF(ตารางสรุปประเมินความพึงพอใจ!BT17=0,"",INDEX(ตารางสรุปประเมินความพึงพอใจ!B17:CJ26,MATCH(Macro!F13,ตารางสรุปประเมินความพึงพอใจ!C17:C26,0),71)))</f>
        <v>20</v>
      </c>
      <c r="L13" s="101" t="str">
        <f>IF(ISBLANK(F13),"0",IF(ตารางสรุปประเมินความพึงพอใจ!BU17=0,"",INDEX(ตารางสรุปประเมินความพึงพอใจ!B17:CJ26,MATCH(Macro!F13,ตารางสรุปประเมินความพึงพอใจ!C17:C26,0),72)))</f>
        <v/>
      </c>
      <c r="M13" s="101" t="str">
        <f>IF(ISBLANK(F13),"0",IF(ตารางสรุปประเมินความพึงพอใจ!BV17=0,"",INDEX(ตารางสรุปประเมินความพึงพอใจ!B17:CJ26,MATCH(Macro!F13,ตารางสรุปประเมินความพึงพอใจ!C17:C26,0),73)))</f>
        <v/>
      </c>
      <c r="N13" s="102">
        <f>IF(ISBLANK(F13),"0",IF(ตารางสรุปประเมินความพึงพอใจ!BX17="0","",INDEX(ตารางสรุปประเมินความพึงพอใจ!B17:CJ26,MATCH(Macro!F13,ตารางสรุปประเมินความพึงพอใจ!C17:C26,0),75)))</f>
        <v>4.45</v>
      </c>
      <c r="O13" s="102">
        <f>IF(ISBLANK(F13),"0",IF(ตารางสรุปประเมินความพึงพอใจ!BY17="0","",INDEX(ตารางสรุปประเมินความพึงพอใจ!B17:CJ26,MATCH(Macro!F13,ตารางสรุปประเมินความพึงพอใจ!C17:C26,0),76)))</f>
        <v>0.61032778078668415</v>
      </c>
      <c r="P13" s="101" t="str">
        <f>IF(ISBLANK(F13),"",IF(ตารางสรุปประเมินความพึงพอใจ!BZ17="","",INDEX(ตารางสรุปประเมินความพึงพอใจ!B17:CJ26,MATCH(Macro!F13,ตารางสรุปประเมินความพึงพอใจ!C17:C26,0),77)))</f>
        <v>ดี</v>
      </c>
      <c r="Q13" s="101" t="str">
        <f>IF(ISBLANK(F13),"",IF(ตารางสรุปประเมินความพึงพอใจ!CA17="","",INDEX(ตารางสรุปประเมินความพึงพอใจ!B17:CJ26,MATCH(Macro!F13,ตารางสรุปประเมินความพึงพอใจ!C17:C26,0),78)))</f>
        <v/>
      </c>
      <c r="R13" s="101" t="str">
        <f>IF(ISBLANK(F13),"",IF(ตารางสรุปประเมินความพึงพอใจ!CB17="","",INDEX(ตารางสรุปประเมินความพึงพอใจ!B17:CJ26,MATCH(Macro!F13,ตารางสรุปประเมินความพึงพอใจ!C17:C26,0),79)))</f>
        <v/>
      </c>
      <c r="S13" s="101" t="str">
        <f>IF(ISBLANK(F13),"",IF(ตารางสรุปประเมินความพึงพอใจ!CC17="","",INDEX(ตารางสรุปประเมินความพึงพอใจ!B17:CJ26,MATCH(Macro!F13,ตารางสรุปประเมินความพึงพอใจ!C17:C26,0),80)))</f>
        <v/>
      </c>
      <c r="T13" s="101" t="str">
        <f>IF(ISBLANK(F13),"",IF(ตารางสรุปประเมินความพึงพอใจ!CD17="","",INDEX(ตารางสรุปประเมินความพึงพอใจ!B17:CJ26,MATCH(Macro!F13,ตารางสรุปประเมินความพึงพอใจ!C17:C26,0),81)))</f>
        <v/>
      </c>
      <c r="U13" s="101" t="str">
        <f>IF(ISBLANK(F13),"",IF(ตารางสรุปประเมินความพึงพอใจ!CE17="","",INDEX(ตารางสรุปประเมินความพึงพอใจ!B17:CJ26,MATCH(Macro!F13,ตารางสรุปประเมินความพึงพอใจ!C17:C26,0),82)))</f>
        <v/>
      </c>
      <c r="V13" s="101" t="str">
        <f>IF(ISBLANK($F13),"",IF(ตารางสรุปประเมินความพึงพอใจ!$CF17="","",INDEX(ตารางสรุปประเมินความพึงพอใจ!$B17:$CJ26,MATCH(Macro!$F13,ตารางสรุปประเมินความพึงพอใจ!$C17:$C26,0),83)))</f>
        <v/>
      </c>
      <c r="W13" s="101" t="str">
        <f>IF(ISBLANK($F13),"",IF(ตารางสรุปประเมินความพึงพอใจ!$CG17="","",INDEX(ตารางสรุปประเมินความพึงพอใจ!$B17:$CJ26,MATCH(Macro!$F13,ตารางสรุปประเมินความพึงพอใจ!$C17:$C26,0),84)))</f>
        <v/>
      </c>
      <c r="X13" s="101" t="str">
        <f>IF(ISBLANK($F13),"",IF(ตารางสรุปประเมินความพึงพอใจ!$CH17="","",INDEX(ตารางสรุปประเมินความพึงพอใจ!$B17:$CJ26,MATCH(Macro!$F13,ตารางสรุปประเมินความพึงพอใจ!$C17:$C26,0),85)))</f>
        <v/>
      </c>
      <c r="Y13" s="101" t="str">
        <f>IF(ISBLANK($F13),"",IF(ตารางสรุปประเมินความพึงพอใจ!$CI17="","",INDEX(ตารางสรุปประเมินความพึงพอใจ!$B17:$CJ26,MATCH(Macro!$F13,ตารางสรุปประเมินความพึงพอใจ!$C17:$C26,0),86)))</f>
        <v/>
      </c>
      <c r="Z13" s="83" t="str">
        <f>IF(ISBLANK($F13),"",IF(ตารางสรุปประเมินความพึงพอใจ!$CJ17="","",INDEX(ตารางสรุปประเมินความพึงพอใจ!$B17:$CJ26,MATCH(Macro!$F13,ตารางสรุปประเมินความพึงพอใจ!$C17:$C26,0),87)))</f>
        <v/>
      </c>
    </row>
    <row r="14" spans="1:26" x14ac:dyDescent="0.45">
      <c r="A14" s="91">
        <v>8</v>
      </c>
      <c r="B14" s="97">
        <f ca="1">IF(ISBLANK(ตารางสรุปประเมินความพึงพอใจ!C18),"",OFFSET(ตารางสรุปประเมินความพึงพอใจ!$L$6,0,0))</f>
        <v>5.0000000000000018</v>
      </c>
      <c r="C14" s="98" t="str">
        <f ca="1">IF(ISBLANK(ตารางสรุปประเมินความพึงพอใจ!C18),"",OFFSET(ตารางสรุปประเมินความพึงพอใจ!$V$6,0,0))</f>
        <v>ขอต่อใบอนุญาตตัวแทนประกันวินาศภัยครั้งที่ 4</v>
      </c>
      <c r="D14" s="99">
        <f ca="1">IF(ISBLANK(ตารางสรุปประเมินความพึงพอใจ!C18),"",OFFSET(ตารางสรุปประเมินความพึงพอใจ!$AR$5,0,0))</f>
        <v>42539</v>
      </c>
      <c r="E14" s="99" t="str">
        <f ca="1">IF(ISBLANK(ตารางสรุปประเมินความพึงพอใจ!C18),"",OFFSET(ตารางสรุปประเมินความพึงพอใจ!$BI$6,0,0))</f>
        <v>ชั้น 4 ห้อง 4 สำนักงานใหญ่</v>
      </c>
      <c r="F14" s="139" t="str">
        <f>IF(ISBLANK(ตารางสรุปประเมินความพึงพอใจ!C18),"",ตารางสรุปประเมินความพึงพอใจ!C18)</f>
        <v>คุณอ้อ ทดสอบ39</v>
      </c>
      <c r="G14" s="139" t="str">
        <f>IF(ISBLANK(ตารางสรุปประเมินความพึงพอใจ!D18),"",ตารางสรุปประเมินความพึงพอใจ!D18)</f>
        <v>แนวโน้มประกันวินาศภัย</v>
      </c>
      <c r="H14" s="100">
        <f>IF(ISBLANK(ตารางสรุปประเมินความพึงพอใจ!E18),"",ตารางสรุปประเมินความพึงพอใจ!E18)</f>
        <v>40</v>
      </c>
      <c r="I14" s="101">
        <f>IF(ISBLANK(F14),"0",IF(ตารางสรุปประเมินความพึงพอใจ!BR18=0,"",INDEX(ตารางสรุปประเมินความพึงพอใจ!B18:CJ27,MATCH(Macro!F14,ตารางสรุปประเมินความพึงพอใจ!C18:C27,0),69)))</f>
        <v>140</v>
      </c>
      <c r="J14" s="101">
        <f>IF(ISBLANK(F14),"0",IF(ตารางสรุปประเมินความพึงพอใจ!BS18=0,"",INDEX(ตารางสรุปประเมินความพึงพอใจ!B18:CJ27,MATCH(Macro!F14,ตารางสรุปประเมินความพึงพอใจ!C18:C27,0),70)))</f>
        <v>144</v>
      </c>
      <c r="K14" s="101">
        <f>IF(ISBLANK(F14),"0",IF(ตารางสรุปประเมินความพึงพอใจ!BT18=0,"",INDEX(ตารางสรุปประเมินความพึงพอใจ!B18:CJ27,MATCH(Macro!F14,ตารางสรุปประเมินความพึงพอใจ!C18:C27,0),71)))</f>
        <v>36</v>
      </c>
      <c r="L14" s="101" t="str">
        <f>IF(ISBLANK(F14),"0",IF(ตารางสรุปประเมินความพึงพอใจ!BU18=0,"",INDEX(ตารางสรุปประเมินความพึงพอใจ!B18:CJ27,MATCH(Macro!F14,ตารางสรุปประเมินความพึงพอใจ!C18:C27,0),72)))</f>
        <v/>
      </c>
      <c r="M14" s="101" t="str">
        <f>IF(ISBLANK(F14),"0",IF(ตารางสรุปประเมินความพึงพอใจ!BV18=0,"",INDEX(ตารางสรุปประเมินความพึงพอใจ!B18:CJ27,MATCH(Macro!F14,ตารางสรุปประเมินความพึงพอใจ!C18:C27,0),73)))</f>
        <v/>
      </c>
      <c r="N14" s="102">
        <f>IF(ISBLANK(F14),"0",IF(ตารางสรุปประเมินความพึงพอใจ!BX18="0","",INDEX(ตารางสรุปประเมินความพึงพอใจ!B18:CJ27,MATCH(Macro!F14,ตารางสรุปประเมินความพึงพอใจ!C18:C27,0),75)))</f>
        <v>4.3250000000000002</v>
      </c>
      <c r="O14" s="102">
        <f>IF(ISBLANK(F14),"0",IF(ตารางสรุปประเมินความพึงพอใจ!BY18="0","",INDEX(ตารางสรุปประเมินความพึงพอใจ!B18:CJ27,MATCH(Macro!F14,ตารางสรุปประเมินความพึงพอใจ!C18:C27,0),76)))</f>
        <v>0.66661458129866713</v>
      </c>
      <c r="P14" s="101" t="str">
        <f>IF(ISBLANK(F14),"",IF(ตารางสรุปประเมินความพึงพอใจ!BZ18="","",INDEX(ตารางสรุปประเมินความพึงพอใจ!B18:CJ27,MATCH(Macro!F14,ตารางสรุปประเมินความพึงพอใจ!C18:C27,0),77)))</f>
        <v>ดี</v>
      </c>
      <c r="Q14" s="101" t="str">
        <f>IF(ISBLANK(F14),"",IF(ตารางสรุปประเมินความพึงพอใจ!CA18="","",INDEX(ตารางสรุปประเมินความพึงพอใจ!B18:CJ27,MATCH(Macro!F14,ตารางสรุปประเมินความพึงพอใจ!C18:C27,0),78)))</f>
        <v/>
      </c>
      <c r="R14" s="101" t="str">
        <f>IF(ISBLANK(F14),"",IF(ตารางสรุปประเมินความพึงพอใจ!CB18="","",INDEX(ตารางสรุปประเมินความพึงพอใจ!B18:CJ27,MATCH(Macro!F14,ตารางสรุปประเมินความพึงพอใจ!C18:C27,0),79)))</f>
        <v/>
      </c>
      <c r="S14" s="101" t="str">
        <f>IF(ISBLANK(F14),"",IF(ตารางสรุปประเมินความพึงพอใจ!CC18="","",INDEX(ตารางสรุปประเมินความพึงพอใจ!B18:CJ27,MATCH(Macro!F14,ตารางสรุปประเมินความพึงพอใจ!C18:C27,0),80)))</f>
        <v/>
      </c>
      <c r="T14" s="101" t="str">
        <f>IF(ISBLANK(F14),"",IF(ตารางสรุปประเมินความพึงพอใจ!CD18="","",INDEX(ตารางสรุปประเมินความพึงพอใจ!B18:CJ27,MATCH(Macro!F14,ตารางสรุปประเมินความพึงพอใจ!C18:C27,0),81)))</f>
        <v/>
      </c>
      <c r="U14" s="101" t="str">
        <f>IF(ISBLANK(F14),"",IF(ตารางสรุปประเมินความพึงพอใจ!CE18="","",INDEX(ตารางสรุปประเมินความพึงพอใจ!B18:CJ27,MATCH(Macro!F14,ตารางสรุปประเมินความพึงพอใจ!C18:C27,0),82)))</f>
        <v/>
      </c>
      <c r="V14" s="101" t="str">
        <f>IF(ISBLANK($F14),"",IF(ตารางสรุปประเมินความพึงพอใจ!$CF18="","",INDEX(ตารางสรุปประเมินความพึงพอใจ!$B18:$CJ27,MATCH(Macro!$F14,ตารางสรุปประเมินความพึงพอใจ!$C18:$C27,0),83)))</f>
        <v/>
      </c>
      <c r="W14" s="101" t="str">
        <f>IF(ISBLANK($F14),"",IF(ตารางสรุปประเมินความพึงพอใจ!$CG18="","",INDEX(ตารางสรุปประเมินความพึงพอใจ!$B18:$CJ27,MATCH(Macro!$F14,ตารางสรุปประเมินความพึงพอใจ!$C18:$C27,0),84)))</f>
        <v/>
      </c>
      <c r="X14" s="101" t="str">
        <f>IF(ISBLANK($F14),"",IF(ตารางสรุปประเมินความพึงพอใจ!$CH18="","",INDEX(ตารางสรุปประเมินความพึงพอใจ!$B18:$CJ27,MATCH(Macro!$F14,ตารางสรุปประเมินความพึงพอใจ!$C18:$C27,0),85)))</f>
        <v/>
      </c>
      <c r="Y14" s="101" t="str">
        <f>IF(ISBLANK($F14),"",IF(ตารางสรุปประเมินความพึงพอใจ!$CI18="","",INDEX(ตารางสรุปประเมินความพึงพอใจ!$B18:$CJ27,MATCH(Macro!$F14,ตารางสรุปประเมินความพึงพอใจ!$C18:$C27,0),86)))</f>
        <v/>
      </c>
      <c r="Z14" s="83" t="str">
        <f>IF(ISBLANK($F14),"",IF(ตารางสรุปประเมินความพึงพอใจ!$CJ18="","",INDEX(ตารางสรุปประเมินความพึงพอใจ!$B18:$CJ27,MATCH(Macro!$F14,ตารางสรุปประเมินความพึงพอใจ!$C18:$C27,0),87)))</f>
        <v/>
      </c>
    </row>
    <row r="15" spans="1:26" x14ac:dyDescent="0.45">
      <c r="A15" s="91">
        <v>9</v>
      </c>
      <c r="B15" s="97">
        <f ca="1">IF(ISBLANK(ตารางสรุปประเมินความพึงพอใจ!C19),"",OFFSET(ตารางสรุปประเมินความพึงพอใจ!$L$6,0,0))</f>
        <v>5.0000000000000018</v>
      </c>
      <c r="C15" s="98" t="str">
        <f ca="1">IF(ISBLANK(ตารางสรุปประเมินความพึงพอใจ!C19),"",OFFSET(ตารางสรุปประเมินความพึงพอใจ!$V$6,0,0))</f>
        <v>ขอต่อใบอนุญาตตัวแทนประกันวินาศภัยครั้งที่ 4</v>
      </c>
      <c r="D15" s="99">
        <f ca="1">IF(ISBLANK(ตารางสรุปประเมินความพึงพอใจ!C19),"",OFFSET(ตารางสรุปประเมินความพึงพอใจ!$AR$5,0,0))</f>
        <v>42539</v>
      </c>
      <c r="E15" s="99" t="str">
        <f ca="1">IF(ISBLANK(ตารางสรุปประเมินความพึงพอใจ!C19),"",OFFSET(ตารางสรุปประเมินความพึงพอใจ!$BI$6,0,0))</f>
        <v>ชั้น 4 ห้อง 4 สำนักงานใหญ่</v>
      </c>
      <c r="F15" s="139" t="str">
        <f>IF(ISBLANK(ตารางสรุปประเมินความพึงพอใจ!C19),"",ตารางสรุปประเมินความพึงพอใจ!C19)</f>
        <v>คุณอนันต์ชัย ทดสอบ35</v>
      </c>
      <c r="G15" s="139" t="str">
        <f>IF(ISBLANK(ตารางสรุปประเมินความพึงพอใจ!D19),"",ตารางสรุปประเมินความพึงพอใจ!D19)</f>
        <v>อุบัติเหตุและความเสี่ยงภัย</v>
      </c>
      <c r="H15" s="100">
        <f>IF(ISBLANK(ตารางสรุปประเมินความพึงพอใจ!E19),"",ตารางสรุปประเมินความพึงพอใจ!E19)</f>
        <v>40</v>
      </c>
      <c r="I15" s="101">
        <f>IF(ISBLANK(F15),"0",IF(ตารางสรุปประเมินความพึงพอใจ!BR19=0,"",INDEX(ตารางสรุปประเมินความพึงพอใจ!B19:CJ28,MATCH(Macro!F15,ตารางสรุปประเมินความพึงพอใจ!C19:C28,0),69)))</f>
        <v>108</v>
      </c>
      <c r="J15" s="101">
        <f>IF(ISBLANK(F15),"0",IF(ตารางสรุปประเมินความพึงพอใจ!BS19=0,"",INDEX(ตารางสรุปประเมินความพึงพอใจ!B19:CJ28,MATCH(Macro!F15,ตารางสรุปประเมินความพึงพอใจ!C19:C28,0),70)))</f>
        <v>120</v>
      </c>
      <c r="K15" s="101">
        <f>IF(ISBLANK(F15),"0",IF(ตารางสรุปประเมินความพึงพอใจ!BT19=0,"",INDEX(ตารางสรุปประเมินความพึงพอใจ!B19:CJ28,MATCH(Macro!F15,ตารางสรุปประเมินความพึงพอใจ!C19:C28,0),71)))</f>
        <v>92</v>
      </c>
      <c r="L15" s="101" t="str">
        <f>IF(ISBLANK(F15),"0",IF(ตารางสรุปประเมินความพึงพอใจ!BU19=0,"",INDEX(ตารางสรุปประเมินความพึงพอใจ!B19:CJ28,MATCH(Macro!F15,ตารางสรุปประเมินความพึงพอใจ!C19:C28,0),72)))</f>
        <v/>
      </c>
      <c r="M15" s="101" t="str">
        <f>IF(ISBLANK(F15),"0",IF(ตารางสรุปประเมินความพึงพอใจ!BV19=0,"",INDEX(ตารางสรุปประเมินความพึงพอใจ!B19:CJ28,MATCH(Macro!F15,ตารางสรุปประเมินความพึงพอใจ!C19:C28,0),73)))</f>
        <v/>
      </c>
      <c r="N15" s="102">
        <f>IF(ISBLANK(F15),"0",IF(ตารางสรุปประเมินความพึงพอใจ!BX19="0","",INDEX(ตารางสรุปประเมินความพึงพอใจ!B19:CJ28,MATCH(Macro!F15,ตารางสรุปประเมินความพึงพอใจ!C19:C28,0),75)))</f>
        <v>4.05</v>
      </c>
      <c r="O15" s="102">
        <f>IF(ISBLANK(F15),"0",IF(ตารางสรุปประเมินความพึงพอใจ!BY19="0","",INDEX(ตารางสรุปประเมินความพึงพอใจ!B19:CJ28,MATCH(Macro!F15,ตารางสรุปประเมินความพึงพอใจ!C19:C28,0),76)))</f>
        <v>0.78898669190297421</v>
      </c>
      <c r="P15" s="101" t="str">
        <f>IF(ISBLANK(F15),"",IF(ตารางสรุปประเมินความพึงพอใจ!BZ19="","",INDEX(ตารางสรุปประเมินความพึงพอใจ!B19:CJ28,MATCH(Macro!F15,ตารางสรุปประเมินความพึงพอใจ!C19:C28,0),77)))</f>
        <v>ดี</v>
      </c>
      <c r="Q15" s="101" t="str">
        <f>IF(ISBLANK(F15),"",IF(ตารางสรุปประเมินความพึงพอใจ!CA19="","",INDEX(ตารางสรุปประเมินความพึงพอใจ!B19:CJ28,MATCH(Macro!F15,ตารางสรุปประเมินความพึงพอใจ!C19:C28,0),78)))</f>
        <v/>
      </c>
      <c r="R15" s="101" t="str">
        <f>IF(ISBLANK(F15),"",IF(ตารางสรุปประเมินความพึงพอใจ!CB19="","",INDEX(ตารางสรุปประเมินความพึงพอใจ!B19:CJ28,MATCH(Macro!F15,ตารางสรุปประเมินความพึงพอใจ!C19:C28,0),79)))</f>
        <v/>
      </c>
      <c r="S15" s="101" t="str">
        <f>IF(ISBLANK(F15),"",IF(ตารางสรุปประเมินความพึงพอใจ!CC19="","",INDEX(ตารางสรุปประเมินความพึงพอใจ!B19:CJ28,MATCH(Macro!F15,ตารางสรุปประเมินความพึงพอใจ!C19:C28,0),80)))</f>
        <v/>
      </c>
      <c r="T15" s="101" t="str">
        <f>IF(ISBLANK(F15),"",IF(ตารางสรุปประเมินความพึงพอใจ!CD19="","",INDEX(ตารางสรุปประเมินความพึงพอใจ!B19:CJ28,MATCH(Macro!F15,ตารางสรุปประเมินความพึงพอใจ!C19:C28,0),81)))</f>
        <v/>
      </c>
      <c r="U15" s="101" t="str">
        <f>IF(ISBLANK(F15),"",IF(ตารางสรุปประเมินความพึงพอใจ!CE19="","",INDEX(ตารางสรุปประเมินความพึงพอใจ!B19:CJ28,MATCH(Macro!F15,ตารางสรุปประเมินความพึงพอใจ!C19:C28,0),82)))</f>
        <v/>
      </c>
      <c r="V15" s="101" t="str">
        <f>IF(ISBLANK($F15),"",IF(ตารางสรุปประเมินความพึงพอใจ!$CF19="","",INDEX(ตารางสรุปประเมินความพึงพอใจ!$B19:$CJ28,MATCH(Macro!$F15,ตารางสรุปประเมินความพึงพอใจ!$C19:$C28,0),83)))</f>
        <v/>
      </c>
      <c r="W15" s="101" t="str">
        <f>IF(ISBLANK($F15),"",IF(ตารางสรุปประเมินความพึงพอใจ!$CG19="","",INDEX(ตารางสรุปประเมินความพึงพอใจ!$B19:$CJ28,MATCH(Macro!$F15,ตารางสรุปประเมินความพึงพอใจ!$C19:$C28,0),84)))</f>
        <v/>
      </c>
      <c r="X15" s="101" t="str">
        <f>IF(ISBLANK($F15),"",IF(ตารางสรุปประเมินความพึงพอใจ!$CH19="","",INDEX(ตารางสรุปประเมินความพึงพอใจ!$B19:$CJ28,MATCH(Macro!$F15,ตารางสรุปประเมินความพึงพอใจ!$C19:$C28,0),85)))</f>
        <v/>
      </c>
      <c r="Y15" s="101" t="str">
        <f>IF(ISBLANK($F15),"",IF(ตารางสรุปประเมินความพึงพอใจ!$CI19="","",INDEX(ตารางสรุปประเมินความพึงพอใจ!$B19:$CJ28,MATCH(Macro!$F15,ตารางสรุปประเมินความพึงพอใจ!$C19:$C28,0),86)))</f>
        <v/>
      </c>
      <c r="Z15" s="83" t="str">
        <f>IF(ISBLANK($F15),"",IF(ตารางสรุปประเมินความพึงพอใจ!$CJ19="","",INDEX(ตารางสรุปประเมินความพึงพอใจ!$B19:$CJ28,MATCH(Macro!$F15,ตารางสรุปประเมินความพึงพอใจ!$C19:$C28,0),87)))</f>
        <v/>
      </c>
    </row>
    <row r="16" spans="1:26" x14ac:dyDescent="0.45">
      <c r="A16" s="91">
        <v>10</v>
      </c>
      <c r="B16" s="97">
        <f ca="1">IF(ISBLANK(ตารางสรุปประเมินความพึงพอใจ!C20),"",OFFSET(ตารางสรุปประเมินความพึงพอใจ!$L$6,0,0))</f>
        <v>5.0000000000000018</v>
      </c>
      <c r="C16" s="98" t="str">
        <f ca="1">IF(ISBLANK(ตารางสรุปประเมินความพึงพอใจ!C20),"",OFFSET(ตารางสรุปประเมินความพึงพอใจ!$V$6,0,0))</f>
        <v>ขอต่อใบอนุญาตตัวแทนประกันวินาศภัยครั้งที่ 4</v>
      </c>
      <c r="D16" s="99">
        <f ca="1">IF(ISBLANK(ตารางสรุปประเมินความพึงพอใจ!C20),"",OFFSET(ตารางสรุปประเมินความพึงพอใจ!$AR$5,0,0))</f>
        <v>42539</v>
      </c>
      <c r="E16" s="99" t="str">
        <f ca="1">IF(ISBLANK(ตารางสรุปประเมินความพึงพอใจ!C20),"",OFFSET(ตารางสรุปประเมินความพึงพอใจ!$BI$6,0,0))</f>
        <v>ชั้น 4 ห้อง 4 สำนักงานใหญ่</v>
      </c>
      <c r="F16" s="139" t="str">
        <f>IF(ISBLANK(ตารางสรุปประเมินความพึงพอใจ!C20),"",ตารางสรุปประเมินความพึงพอใจ!C20)</f>
        <v>คุณพูลศักดิ์ ทดสอบ15</v>
      </c>
      <c r="G16" s="139" t="str">
        <f>IF(ISBLANK(ตารางสรุปประเมินความพึงพอใจ!D20),"",ตารางสรุปประเมินความพึงพอใจ!D20)</f>
        <v>ประกันภัยจักวาลและหลุมอวกาศ</v>
      </c>
      <c r="H16" s="100">
        <f>IF(ISBLANK(ตารางสรุปประเมินความพึงพอใจ!E20),"",ตารางสรุปประเมินความพึงพอใจ!E20)</f>
        <v>40</v>
      </c>
      <c r="I16" s="101">
        <f>IF(ISBLANK(F16),"0",IF(ตารางสรุปประเมินความพึงพอใจ!BR20=0,"",INDEX(ตารางสรุปประเมินความพึงพอใจ!B20:CJ29,MATCH(Macro!F16,ตารางสรุปประเมินความพึงพอใจ!C20:C29,0),69)))</f>
        <v>156</v>
      </c>
      <c r="J16" s="101">
        <f>IF(ISBLANK(F16),"0",IF(ตารางสรุปประเมินความพึงพอใจ!BS20=0,"",INDEX(ตารางสรุปประเมินความพึงพอใจ!B20:CJ29,MATCH(Macro!F16,ตารางสรุปประเมินความพึงพอใจ!C20:C29,0),70)))</f>
        <v>76</v>
      </c>
      <c r="K16" s="101">
        <f>IF(ISBLANK(F16),"0",IF(ตารางสรุปประเมินความพึงพอใจ!BT20=0,"",INDEX(ตารางสรุปประเมินความพึงพอใจ!B20:CJ29,MATCH(Macro!F16,ตารางสรุปประเมินความพึงพอใจ!C20:C29,0),71)))</f>
        <v>88</v>
      </c>
      <c r="L16" s="101" t="str">
        <f>IF(ISBLANK(F16),"0",IF(ตารางสรุปประเมินความพึงพอใจ!BU20=0,"",INDEX(ตารางสรุปประเมินความพึงพอใจ!B20:CJ29,MATCH(Macro!F16,ตารางสรุปประเมินความพึงพอใจ!C20:C29,0),72)))</f>
        <v/>
      </c>
      <c r="M16" s="101" t="str">
        <f>IF(ISBLANK(F16),"0",IF(ตารางสรุปประเมินความพึงพอใจ!BV20=0,"",INDEX(ตารางสรุปประเมินความพึงพอใจ!B20:CJ29,MATCH(Macro!F16,ตารางสรุปประเมินความพึงพอใจ!C20:C29,0),73)))</f>
        <v/>
      </c>
      <c r="N16" s="102">
        <f>IF(ISBLANK(F16),"0",IF(ตารางสรุปประเมินความพึงพอใจ!BX20="0","",INDEX(ตารางสรุปประเมินความพึงพอใจ!B20:CJ29,MATCH(Macro!F16,ตารางสรุปประเมินความพึงพอใจ!C20:C29,0),75)))</f>
        <v>4.2125000000000004</v>
      </c>
      <c r="O16" s="102">
        <f>IF(ISBLANK(F16),"0",IF(ตารางสรุปประเมินความพึงพอใจ!BY20="0","",INDEX(ตารางสรุปประเมินความพึงพอใจ!B20:CJ29,MATCH(Macro!F16,ตารางสรุปประเมินความพึงพอใจ!C20:C29,0),76)))</f>
        <v>0.84696148082424283</v>
      </c>
      <c r="P16" s="101" t="str">
        <f>IF(ISBLANK(F16),"",IF(ตารางสรุปประเมินความพึงพอใจ!BZ20="","",INDEX(ตารางสรุปประเมินความพึงพอใจ!B20:CJ29,MATCH(Macro!F16,ตารางสรุปประเมินความพึงพอใจ!C20:C29,0),77)))</f>
        <v>ดี</v>
      </c>
      <c r="Q16" s="101" t="str">
        <f>IF(ISBLANK(F16),"",IF(ตารางสรุปประเมินความพึงพอใจ!CA20="","",INDEX(ตารางสรุปประเมินความพึงพอใจ!B20:CJ29,MATCH(Macro!F16,ตารางสรุปประเมินความพึงพอใจ!C20:C29,0),78)))</f>
        <v/>
      </c>
      <c r="R16" s="101" t="str">
        <f>IF(ISBLANK(F16),"",IF(ตารางสรุปประเมินความพึงพอใจ!CB20="","",INDEX(ตารางสรุปประเมินความพึงพอใจ!B20:CJ29,MATCH(Macro!F16,ตารางสรุปประเมินความพึงพอใจ!C20:C29,0),79)))</f>
        <v/>
      </c>
      <c r="S16" s="101" t="str">
        <f>IF(ISBLANK(F16),"",IF(ตารางสรุปประเมินความพึงพอใจ!CC20="","",INDEX(ตารางสรุปประเมินความพึงพอใจ!B20:CJ29,MATCH(Macro!F16,ตารางสรุปประเมินความพึงพอใจ!C20:C29,0),80)))</f>
        <v/>
      </c>
      <c r="T16" s="101" t="str">
        <f>IF(ISBLANK(F16),"",IF(ตารางสรุปประเมินความพึงพอใจ!CD20="","",INDEX(ตารางสรุปประเมินความพึงพอใจ!B20:CJ29,MATCH(Macro!F16,ตารางสรุปประเมินความพึงพอใจ!C20:C29,0),81)))</f>
        <v/>
      </c>
      <c r="U16" s="101" t="str">
        <f>IF(ISBLANK(F16),"",IF(ตารางสรุปประเมินความพึงพอใจ!CE20="","",INDEX(ตารางสรุปประเมินความพึงพอใจ!B20:CJ29,MATCH(Macro!F16,ตารางสรุปประเมินความพึงพอใจ!C20:C29,0),82)))</f>
        <v/>
      </c>
      <c r="V16" s="101" t="str">
        <f>IF(ISBLANK($F16),"",IF(ตารางสรุปประเมินความพึงพอใจ!$CF20="","",INDEX(ตารางสรุปประเมินความพึงพอใจ!$B20:$CJ29,MATCH(Macro!$F16,ตารางสรุปประเมินความพึงพอใจ!$C20:$C29,0),83)))</f>
        <v/>
      </c>
      <c r="W16" s="101" t="str">
        <f>IF(ISBLANK($F16),"",IF(ตารางสรุปประเมินความพึงพอใจ!$CG20="","",INDEX(ตารางสรุปประเมินความพึงพอใจ!$B20:$CJ29,MATCH(Macro!$F16,ตารางสรุปประเมินความพึงพอใจ!$C20:$C29,0),84)))</f>
        <v/>
      </c>
      <c r="X16" s="101" t="str">
        <f>IF(ISBLANK($F16),"",IF(ตารางสรุปประเมินความพึงพอใจ!$CH20="","",INDEX(ตารางสรุปประเมินความพึงพอใจ!$B20:$CJ29,MATCH(Macro!$F16,ตารางสรุปประเมินความพึงพอใจ!$C20:$C29,0),85)))</f>
        <v/>
      </c>
      <c r="Y16" s="101" t="str">
        <f>IF(ISBLANK($F16),"",IF(ตารางสรุปประเมินความพึงพอใจ!$CI20="","",INDEX(ตารางสรุปประเมินความพึงพอใจ!$B20:$CJ29,MATCH(Macro!$F16,ตารางสรุปประเมินความพึงพอใจ!$C20:$C29,0),86)))</f>
        <v/>
      </c>
      <c r="Z16" s="83" t="str">
        <f>IF(ISBLANK($F16),"",IF(ตารางสรุปประเมินความพึงพอใจ!$CJ20="","",INDEX(ตารางสรุปประเมินความพึงพอใจ!$B20:$CJ29,MATCH(Macro!$F16,ตารางสรุปประเมินความพึงพอใจ!$C20:$C29,0),87)))</f>
        <v/>
      </c>
    </row>
  </sheetData>
  <sheetProtection sheet="1" objects="1" scenarios="1"/>
  <mergeCells count="1">
    <mergeCell ref="G1:J1"/>
  </mergeCells>
  <dataValidations count="1">
    <dataValidation allowBlank="1" sqref="I7:Y16 H7:H16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ข้อมูล!$J$3:$J$41</xm:f>
          </x14:formula1>
          <xm:sqref>F7:G16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J29"/>
  <sheetViews>
    <sheetView view="pageBreakPreview" zoomScaleNormal="100" zoomScaleSheetLayoutView="100" zoomScalePageLayoutView="40" workbookViewId="0">
      <selection activeCell="A2" sqref="A2:BZ2"/>
    </sheetView>
  </sheetViews>
  <sheetFormatPr defaultRowHeight="22.5" x14ac:dyDescent="0.45"/>
  <cols>
    <col min="1" max="1" width="3.75" style="15" customWidth="1"/>
    <col min="2" max="2" width="14.375" style="15" customWidth="1"/>
    <col min="3" max="3" width="25.375" style="9" customWidth="1"/>
    <col min="4" max="4" width="25.625" style="9" customWidth="1"/>
    <col min="5" max="5" width="8.375" style="32" customWidth="1"/>
    <col min="6" max="10" width="4.625" style="32" customWidth="1"/>
    <col min="11" max="11" width="5.75" style="18" customWidth="1"/>
    <col min="12" max="13" width="5" style="13" customWidth="1"/>
    <col min="14" max="18" width="4.625" style="33" bestFit="1" customWidth="1"/>
    <col min="19" max="19" width="5.75" style="13" bestFit="1" customWidth="1"/>
    <col min="20" max="21" width="5" style="13" customWidth="1"/>
    <col min="22" max="23" width="4.625" style="13" bestFit="1" customWidth="1"/>
    <col min="24" max="24" width="5" style="13" bestFit="1" customWidth="1"/>
    <col min="25" max="26" width="4.625" style="13" bestFit="1" customWidth="1"/>
    <col min="27" max="27" width="5.75" style="13" bestFit="1" customWidth="1"/>
    <col min="28" max="29" width="5" style="13" customWidth="1"/>
    <col min="30" max="30" width="4.625" style="13" bestFit="1" customWidth="1"/>
    <col min="31" max="31" width="4.625" style="13" customWidth="1"/>
    <col min="32" max="34" width="4.625" style="13" bestFit="1" customWidth="1"/>
    <col min="35" max="35" width="5.75" style="13" bestFit="1" customWidth="1"/>
    <col min="36" max="37" width="5" style="13" customWidth="1"/>
    <col min="38" max="42" width="4.625" style="13" bestFit="1" customWidth="1"/>
    <col min="43" max="43" width="5.75" style="13" bestFit="1" customWidth="1"/>
    <col min="44" max="45" width="5" style="13" customWidth="1"/>
    <col min="46" max="50" width="4.625" style="13" bestFit="1" customWidth="1"/>
    <col min="51" max="51" width="5.75" style="13" customWidth="1"/>
    <col min="52" max="53" width="5" style="13" customWidth="1"/>
    <col min="54" max="58" width="4.625" style="13" bestFit="1" customWidth="1"/>
    <col min="59" max="59" width="5.75" style="13" customWidth="1"/>
    <col min="60" max="61" width="5" style="13" customWidth="1"/>
    <col min="62" max="66" width="4.625" style="13" bestFit="1" customWidth="1"/>
    <col min="67" max="67" width="5.75" style="13" customWidth="1"/>
    <col min="68" max="69" width="5" style="13" customWidth="1"/>
    <col min="70" max="74" width="5.75" style="35" bestFit="1" customWidth="1"/>
    <col min="75" max="75" width="7" style="35" customWidth="1"/>
    <col min="76" max="77" width="5" style="13" customWidth="1"/>
    <col min="78" max="78" width="12" style="23" customWidth="1"/>
    <col min="79" max="87" width="12.25" style="36" bestFit="1" customWidth="1"/>
    <col min="88" max="88" width="13.5" style="36" bestFit="1" customWidth="1"/>
  </cols>
  <sheetData>
    <row r="1" spans="1:88" ht="21" x14ac:dyDescent="0.2">
      <c r="A1" s="166" t="s">
        <v>105</v>
      </c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  <c r="AT1" s="167"/>
      <c r="AU1" s="167"/>
      <c r="AV1" s="167"/>
      <c r="AW1" s="167"/>
      <c r="AX1" s="167"/>
      <c r="AY1" s="167"/>
      <c r="AZ1" s="167"/>
      <c r="BA1" s="167"/>
      <c r="BB1" s="167"/>
      <c r="BC1" s="167"/>
      <c r="BD1" s="167"/>
      <c r="BE1" s="167"/>
      <c r="BF1" s="167"/>
      <c r="BG1" s="167"/>
      <c r="BH1" s="167"/>
      <c r="BI1" s="167"/>
      <c r="BJ1" s="167"/>
      <c r="BK1" s="167"/>
      <c r="BL1" s="167"/>
      <c r="BM1" s="167"/>
      <c r="BN1" s="167"/>
      <c r="BO1" s="167"/>
      <c r="BP1" s="167"/>
      <c r="BQ1" s="167"/>
      <c r="BR1" s="167"/>
      <c r="BS1" s="167"/>
      <c r="BT1" s="167"/>
      <c r="BU1" s="167"/>
      <c r="BV1" s="167"/>
      <c r="BW1" s="167"/>
      <c r="BX1" s="167"/>
      <c r="BY1" s="167"/>
      <c r="BZ1" s="167"/>
    </row>
    <row r="2" spans="1:88" ht="21" x14ac:dyDescent="0.2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  <c r="BM2" s="166"/>
      <c r="BN2" s="166"/>
      <c r="BO2" s="166"/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</row>
    <row r="3" spans="1:88" ht="23.25" x14ac:dyDescent="0.2">
      <c r="A3" s="10"/>
      <c r="B3" s="10"/>
      <c r="C3" s="11"/>
      <c r="D3" s="11"/>
      <c r="E3" s="27"/>
      <c r="F3" s="27"/>
      <c r="G3" s="27"/>
      <c r="H3" s="27"/>
      <c r="I3" s="27"/>
      <c r="J3" s="27"/>
      <c r="K3" s="16"/>
      <c r="L3" s="12"/>
      <c r="M3" s="12"/>
      <c r="N3" s="8"/>
      <c r="O3" s="8"/>
      <c r="P3" s="8"/>
      <c r="Q3" s="8"/>
      <c r="R3" s="8"/>
      <c r="S3" s="8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34"/>
      <c r="BS3" s="34"/>
      <c r="BT3" s="34"/>
      <c r="BU3" s="34"/>
      <c r="BV3" s="34"/>
      <c r="BW3" s="34"/>
      <c r="BX3" s="12"/>
      <c r="BY3" s="12"/>
      <c r="BZ3" s="4"/>
    </row>
    <row r="4" spans="1:88" x14ac:dyDescent="0.2">
      <c r="A4" s="168" t="s">
        <v>203</v>
      </c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  <c r="BR4" s="168"/>
      <c r="BS4" s="168"/>
      <c r="BT4" s="168"/>
      <c r="BU4" s="168"/>
      <c r="BV4" s="168"/>
      <c r="BW4" s="168"/>
      <c r="BX4" s="168"/>
      <c r="BY4" s="168"/>
      <c r="BZ4" s="168"/>
    </row>
    <row r="5" spans="1:88" s="65" customFormat="1" x14ac:dyDescent="0.45">
      <c r="A5" s="59" t="s">
        <v>91</v>
      </c>
      <c r="B5" s="59"/>
      <c r="C5" s="60"/>
      <c r="D5" s="138">
        <f>COUNTA(C11:C20)</f>
        <v>10</v>
      </c>
      <c r="E5" s="61" t="s">
        <v>92</v>
      </c>
      <c r="F5" s="61"/>
      <c r="G5" s="61"/>
      <c r="H5" s="61"/>
      <c r="I5" s="177" t="s">
        <v>119</v>
      </c>
      <c r="J5" s="177"/>
      <c r="K5" s="177"/>
      <c r="L5" s="175"/>
      <c r="M5" s="175"/>
      <c r="N5" s="62"/>
      <c r="O5" s="62"/>
      <c r="P5" s="63"/>
      <c r="Q5" s="63"/>
      <c r="R5" s="77" t="s">
        <v>121</v>
      </c>
      <c r="S5" s="77"/>
      <c r="T5" s="77"/>
      <c r="U5" s="64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76"/>
      <c r="AK5" s="76"/>
      <c r="AL5" s="176" t="s">
        <v>123</v>
      </c>
      <c r="AM5" s="176"/>
      <c r="AN5" s="176"/>
      <c r="AO5" s="176"/>
      <c r="AP5" s="176"/>
      <c r="AQ5" s="176"/>
      <c r="AR5" s="180">
        <v>42539</v>
      </c>
      <c r="AS5" s="180"/>
      <c r="AT5" s="180"/>
      <c r="AU5" s="76"/>
      <c r="AV5" s="76"/>
      <c r="AW5" s="76"/>
      <c r="AX5" s="176" t="s">
        <v>197</v>
      </c>
      <c r="AY5" s="176"/>
      <c r="AZ5" s="176"/>
      <c r="BA5" s="176"/>
      <c r="BB5" s="176"/>
      <c r="BC5" s="176"/>
      <c r="BD5" s="176"/>
      <c r="BE5" s="176"/>
      <c r="BF5" s="176"/>
      <c r="BG5" s="177" t="s">
        <v>200</v>
      </c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CA5" s="66"/>
      <c r="CB5" s="66"/>
      <c r="CC5" s="66"/>
      <c r="CD5" s="66"/>
      <c r="CE5" s="66"/>
      <c r="CF5" s="66"/>
      <c r="CG5" s="66"/>
      <c r="CH5" s="66"/>
      <c r="CI5" s="66"/>
      <c r="CJ5" s="66"/>
    </row>
    <row r="6" spans="1:88" s="65" customFormat="1" x14ac:dyDescent="0.2">
      <c r="A6" s="59" t="s">
        <v>118</v>
      </c>
      <c r="B6" s="59"/>
      <c r="C6" s="60"/>
      <c r="D6" s="61">
        <f>AVERAGE(E11:E20)</f>
        <v>40</v>
      </c>
      <c r="E6" s="61" t="s">
        <v>95</v>
      </c>
      <c r="F6" s="61"/>
      <c r="G6" s="61"/>
      <c r="H6" s="61"/>
      <c r="I6" s="177" t="s">
        <v>120</v>
      </c>
      <c r="J6" s="177"/>
      <c r="K6" s="177"/>
      <c r="L6" s="155">
        <f ca="1">IFERROR(SUMPRODUCT(1/COUNTIF(IDT,IDT)),0)+1</f>
        <v>5.0000000000000018</v>
      </c>
      <c r="M6" s="155"/>
      <c r="N6" s="67"/>
      <c r="O6" s="67"/>
      <c r="P6" s="76"/>
      <c r="Q6" s="76"/>
      <c r="R6" s="176" t="s">
        <v>178</v>
      </c>
      <c r="S6" s="176"/>
      <c r="T6" s="176"/>
      <c r="U6" s="176"/>
      <c r="V6" s="181" t="s">
        <v>122</v>
      </c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76"/>
      <c r="AK6" s="76"/>
      <c r="AL6" s="176" t="s">
        <v>124</v>
      </c>
      <c r="AM6" s="176"/>
      <c r="AN6" s="176"/>
      <c r="AO6" s="176"/>
      <c r="AP6" s="176"/>
      <c r="AQ6" s="176"/>
      <c r="AR6" s="179"/>
      <c r="AS6" s="179"/>
      <c r="AT6" s="179"/>
      <c r="AU6" s="76"/>
      <c r="AV6" s="76"/>
      <c r="AW6" s="76"/>
      <c r="AX6" s="176" t="s">
        <v>199</v>
      </c>
      <c r="AY6" s="176"/>
      <c r="AZ6" s="176"/>
      <c r="BA6" s="176"/>
      <c r="BB6" s="176"/>
      <c r="BC6" s="176"/>
      <c r="BD6" s="176"/>
      <c r="BE6" s="176"/>
      <c r="BF6" s="176"/>
      <c r="BG6" s="177" t="s">
        <v>201</v>
      </c>
      <c r="BH6" s="177"/>
      <c r="BI6" s="185" t="s">
        <v>269</v>
      </c>
      <c r="BJ6" s="185"/>
      <c r="BK6" s="185"/>
      <c r="BL6" s="185"/>
      <c r="BM6" s="185"/>
      <c r="BN6" s="185"/>
      <c r="BO6" s="185"/>
      <c r="BP6" s="185"/>
      <c r="BQ6" s="185"/>
      <c r="BR6" s="185"/>
      <c r="BS6" s="185"/>
      <c r="BT6" s="185"/>
      <c r="BU6" s="185"/>
      <c r="BV6" s="185"/>
      <c r="CA6" s="66"/>
      <c r="CB6" s="66"/>
      <c r="CC6" s="66"/>
      <c r="CD6" s="66"/>
      <c r="CE6" s="66"/>
      <c r="CF6" s="66"/>
      <c r="CG6" s="66"/>
      <c r="CH6" s="66"/>
      <c r="CI6" s="66"/>
      <c r="CJ6" s="66"/>
    </row>
    <row r="7" spans="1:88" x14ac:dyDescent="0.2">
      <c r="A7" s="6"/>
      <c r="B7" s="6"/>
      <c r="C7" s="2"/>
      <c r="D7" s="39"/>
      <c r="E7" s="28"/>
      <c r="F7" s="28"/>
      <c r="G7" s="28"/>
      <c r="H7" s="28"/>
      <c r="I7" s="28"/>
      <c r="J7" s="28"/>
      <c r="K7" s="8"/>
      <c r="L7" s="5"/>
      <c r="M7" s="5"/>
      <c r="N7" s="8"/>
      <c r="O7" s="8"/>
      <c r="P7" s="8"/>
      <c r="Q7" s="8"/>
      <c r="R7" s="8"/>
      <c r="S7" s="8"/>
      <c r="T7" s="5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28"/>
      <c r="BS7" s="28"/>
      <c r="BT7" s="28"/>
      <c r="BU7" s="28"/>
      <c r="BV7" s="28"/>
      <c r="BW7" s="28"/>
      <c r="BX7" s="7"/>
      <c r="BY7" s="7"/>
      <c r="BZ7" s="7"/>
    </row>
    <row r="8" spans="1:88" x14ac:dyDescent="0.2">
      <c r="A8" s="161" t="s">
        <v>37</v>
      </c>
      <c r="B8" s="156" t="s">
        <v>125</v>
      </c>
      <c r="C8" s="161" t="s">
        <v>89</v>
      </c>
      <c r="D8" s="156" t="s">
        <v>128</v>
      </c>
      <c r="E8" s="171" t="s">
        <v>93</v>
      </c>
      <c r="F8" s="164" t="s">
        <v>90</v>
      </c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165"/>
      <c r="AL8" s="165"/>
      <c r="AM8" s="165"/>
      <c r="AN8" s="165"/>
      <c r="AO8" s="165"/>
      <c r="AP8" s="165"/>
      <c r="AQ8" s="165"/>
      <c r="AR8" s="165"/>
      <c r="AS8" s="165"/>
      <c r="AT8" s="165"/>
      <c r="AU8" s="165"/>
      <c r="AV8" s="165"/>
      <c r="AW8" s="165"/>
      <c r="AX8" s="165"/>
      <c r="AY8" s="165"/>
      <c r="AZ8" s="165"/>
      <c r="BA8" s="165"/>
      <c r="BB8" s="165"/>
      <c r="BC8" s="165"/>
      <c r="BD8" s="165"/>
      <c r="BE8" s="165"/>
      <c r="BF8" s="165"/>
      <c r="BG8" s="165"/>
      <c r="BH8" s="165"/>
      <c r="BI8" s="165"/>
      <c r="BJ8" s="165"/>
      <c r="BK8" s="165"/>
      <c r="BL8" s="165"/>
      <c r="BM8" s="165"/>
      <c r="BN8" s="165"/>
      <c r="BO8" s="165"/>
      <c r="BP8" s="165"/>
      <c r="BQ8" s="165"/>
      <c r="BR8" s="165"/>
      <c r="BS8" s="165"/>
      <c r="BT8" s="165"/>
      <c r="BU8" s="165"/>
      <c r="BV8" s="165"/>
      <c r="BW8" s="165"/>
      <c r="BX8" s="165"/>
      <c r="BY8" s="165"/>
      <c r="BZ8" s="178"/>
      <c r="CA8" s="161" t="s">
        <v>107</v>
      </c>
      <c r="CB8" s="161"/>
      <c r="CC8" s="161"/>
      <c r="CD8" s="161"/>
      <c r="CE8" s="161"/>
      <c r="CF8" s="161"/>
      <c r="CG8" s="161"/>
      <c r="CH8" s="161"/>
      <c r="CI8" s="161"/>
      <c r="CJ8" s="161"/>
    </row>
    <row r="9" spans="1:88" x14ac:dyDescent="0.2">
      <c r="A9" s="161"/>
      <c r="B9" s="157"/>
      <c r="C9" s="161"/>
      <c r="D9" s="157"/>
      <c r="E9" s="172"/>
      <c r="F9" s="164" t="s">
        <v>9</v>
      </c>
      <c r="G9" s="165"/>
      <c r="H9" s="165"/>
      <c r="I9" s="165"/>
      <c r="J9" s="165"/>
      <c r="K9" s="159" t="s">
        <v>24</v>
      </c>
      <c r="L9" s="173" t="s">
        <v>25</v>
      </c>
      <c r="M9" s="173" t="s">
        <v>26</v>
      </c>
      <c r="N9" s="164" t="s">
        <v>10</v>
      </c>
      <c r="O9" s="165"/>
      <c r="P9" s="165"/>
      <c r="Q9" s="165"/>
      <c r="R9" s="165"/>
      <c r="S9" s="159" t="s">
        <v>24</v>
      </c>
      <c r="T9" s="173" t="s">
        <v>25</v>
      </c>
      <c r="U9" s="173" t="s">
        <v>26</v>
      </c>
      <c r="V9" s="164" t="s">
        <v>11</v>
      </c>
      <c r="W9" s="165"/>
      <c r="X9" s="165"/>
      <c r="Y9" s="165"/>
      <c r="Z9" s="178"/>
      <c r="AA9" s="159" t="str">
        <f>S9</f>
        <v>N</v>
      </c>
      <c r="AB9" s="159" t="str">
        <f>T9</f>
        <v>X</v>
      </c>
      <c r="AC9" s="159" t="str">
        <f>U9</f>
        <v>SD</v>
      </c>
      <c r="AD9" s="164" t="s">
        <v>12</v>
      </c>
      <c r="AE9" s="165"/>
      <c r="AF9" s="165"/>
      <c r="AG9" s="165"/>
      <c r="AH9" s="165"/>
      <c r="AI9" s="159" t="str">
        <f>AA9</f>
        <v>N</v>
      </c>
      <c r="AJ9" s="159" t="str">
        <f>AB9</f>
        <v>X</v>
      </c>
      <c r="AK9" s="159" t="str">
        <f>AC9</f>
        <v>SD</v>
      </c>
      <c r="AL9" s="164" t="s">
        <v>13</v>
      </c>
      <c r="AM9" s="165"/>
      <c r="AN9" s="165"/>
      <c r="AO9" s="165"/>
      <c r="AP9" s="165"/>
      <c r="AQ9" s="159" t="str">
        <f>AI9</f>
        <v>N</v>
      </c>
      <c r="AR9" s="159" t="str">
        <f>AJ9</f>
        <v>X</v>
      </c>
      <c r="AS9" s="159" t="str">
        <f>AK9</f>
        <v>SD</v>
      </c>
      <c r="AT9" s="160" t="s">
        <v>14</v>
      </c>
      <c r="AU9" s="160"/>
      <c r="AV9" s="160"/>
      <c r="AW9" s="160"/>
      <c r="AX9" s="160"/>
      <c r="AY9" s="159" t="str">
        <f>AQ9</f>
        <v>N</v>
      </c>
      <c r="AZ9" s="159" t="str">
        <f>AR9</f>
        <v>X</v>
      </c>
      <c r="BA9" s="159" t="str">
        <f>AS9</f>
        <v>SD</v>
      </c>
      <c r="BB9" s="160" t="s">
        <v>15</v>
      </c>
      <c r="BC9" s="160"/>
      <c r="BD9" s="160"/>
      <c r="BE9" s="160"/>
      <c r="BF9" s="160"/>
      <c r="BG9" s="159" t="str">
        <f>AY9</f>
        <v>N</v>
      </c>
      <c r="BH9" s="159" t="str">
        <f>AZ9</f>
        <v>X</v>
      </c>
      <c r="BI9" s="159" t="str">
        <f>BA9</f>
        <v>SD</v>
      </c>
      <c r="BJ9" s="160" t="s">
        <v>16</v>
      </c>
      <c r="BK9" s="160"/>
      <c r="BL9" s="160"/>
      <c r="BM9" s="160"/>
      <c r="BN9" s="160"/>
      <c r="BO9" s="159" t="str">
        <f>BG9</f>
        <v>N</v>
      </c>
      <c r="BP9" s="159" t="str">
        <f>BH9</f>
        <v>X</v>
      </c>
      <c r="BQ9" s="159" t="str">
        <f>BI9</f>
        <v>SD</v>
      </c>
      <c r="BR9" s="170" t="s">
        <v>17</v>
      </c>
      <c r="BS9" s="170"/>
      <c r="BT9" s="170"/>
      <c r="BU9" s="170"/>
      <c r="BV9" s="170"/>
      <c r="BW9" s="162" t="str">
        <f>BO9</f>
        <v>N</v>
      </c>
      <c r="BX9" s="174" t="str">
        <f>BP9</f>
        <v>X</v>
      </c>
      <c r="BY9" s="174" t="str">
        <f>BQ9</f>
        <v>SD</v>
      </c>
      <c r="BZ9" s="169" t="s">
        <v>94</v>
      </c>
      <c r="CA9" s="156" t="s">
        <v>106</v>
      </c>
      <c r="CB9" s="156" t="s">
        <v>108</v>
      </c>
      <c r="CC9" s="156" t="s">
        <v>109</v>
      </c>
      <c r="CD9" s="156" t="s">
        <v>110</v>
      </c>
      <c r="CE9" s="156" t="s">
        <v>111</v>
      </c>
      <c r="CF9" s="156" t="s">
        <v>113</v>
      </c>
      <c r="CG9" s="156" t="s">
        <v>114</v>
      </c>
      <c r="CH9" s="156" t="s">
        <v>115</v>
      </c>
      <c r="CI9" s="156" t="s">
        <v>116</v>
      </c>
      <c r="CJ9" s="156" t="s">
        <v>117</v>
      </c>
    </row>
    <row r="10" spans="1:88" x14ac:dyDescent="0.2">
      <c r="A10" s="161"/>
      <c r="B10" s="158"/>
      <c r="C10" s="161"/>
      <c r="D10" s="158"/>
      <c r="E10" s="172"/>
      <c r="F10" s="29">
        <v>5</v>
      </c>
      <c r="G10" s="29">
        <v>4</v>
      </c>
      <c r="H10" s="29">
        <v>3</v>
      </c>
      <c r="I10" s="29">
        <v>2</v>
      </c>
      <c r="J10" s="40">
        <v>1</v>
      </c>
      <c r="K10" s="159"/>
      <c r="L10" s="173"/>
      <c r="M10" s="173"/>
      <c r="N10" s="26">
        <f>F10</f>
        <v>5</v>
      </c>
      <c r="O10" s="26">
        <f>G10</f>
        <v>4</v>
      </c>
      <c r="P10" s="26">
        <f>H10</f>
        <v>3</v>
      </c>
      <c r="Q10" s="26">
        <f>I10</f>
        <v>2</v>
      </c>
      <c r="R10" s="37">
        <f>J10</f>
        <v>1</v>
      </c>
      <c r="S10" s="159"/>
      <c r="T10" s="173"/>
      <c r="U10" s="173"/>
      <c r="V10" s="26">
        <f>N10</f>
        <v>5</v>
      </c>
      <c r="W10" s="26">
        <f>O10</f>
        <v>4</v>
      </c>
      <c r="X10" s="26">
        <f>P10</f>
        <v>3</v>
      </c>
      <c r="Y10" s="26">
        <f>Q10</f>
        <v>2</v>
      </c>
      <c r="Z10" s="26">
        <f>R10</f>
        <v>1</v>
      </c>
      <c r="AA10" s="159"/>
      <c r="AB10" s="159"/>
      <c r="AC10" s="159"/>
      <c r="AD10" s="22">
        <f>V10</f>
        <v>5</v>
      </c>
      <c r="AE10" s="22">
        <f>W10</f>
        <v>4</v>
      </c>
      <c r="AF10" s="22">
        <f>X10</f>
        <v>3</v>
      </c>
      <c r="AG10" s="22">
        <f>Y10</f>
        <v>2</v>
      </c>
      <c r="AH10" s="37">
        <f>Z10</f>
        <v>1</v>
      </c>
      <c r="AI10" s="159"/>
      <c r="AJ10" s="159"/>
      <c r="AK10" s="159"/>
      <c r="AL10" s="44">
        <f>AD10</f>
        <v>5</v>
      </c>
      <c r="AM10" s="44">
        <f>AE10</f>
        <v>4</v>
      </c>
      <c r="AN10" s="44">
        <f>AF10</f>
        <v>3</v>
      </c>
      <c r="AO10" s="44">
        <f>AG10</f>
        <v>2</v>
      </c>
      <c r="AP10" s="58">
        <f>AH10</f>
        <v>1</v>
      </c>
      <c r="AQ10" s="159"/>
      <c r="AR10" s="159"/>
      <c r="AS10" s="159"/>
      <c r="AT10" s="38">
        <f>AL10</f>
        <v>5</v>
      </c>
      <c r="AU10" s="38">
        <f>AM10</f>
        <v>4</v>
      </c>
      <c r="AV10" s="38">
        <f>AN10</f>
        <v>3</v>
      </c>
      <c r="AW10" s="38">
        <f>AO10</f>
        <v>2</v>
      </c>
      <c r="AX10" s="38">
        <f>AP10</f>
        <v>1</v>
      </c>
      <c r="AY10" s="159"/>
      <c r="AZ10" s="159"/>
      <c r="BA10" s="159"/>
      <c r="BB10" s="38">
        <f>AT10</f>
        <v>5</v>
      </c>
      <c r="BC10" s="38">
        <f>AU10</f>
        <v>4</v>
      </c>
      <c r="BD10" s="38">
        <f>AV10</f>
        <v>3</v>
      </c>
      <c r="BE10" s="38">
        <f>AW10</f>
        <v>2</v>
      </c>
      <c r="BF10" s="38">
        <f>AX10</f>
        <v>1</v>
      </c>
      <c r="BG10" s="159"/>
      <c r="BH10" s="159"/>
      <c r="BI10" s="159"/>
      <c r="BJ10" s="38">
        <f>BB10</f>
        <v>5</v>
      </c>
      <c r="BK10" s="38">
        <f>BC10</f>
        <v>4</v>
      </c>
      <c r="BL10" s="38">
        <f>BD10</f>
        <v>3</v>
      </c>
      <c r="BM10" s="38">
        <f>BE10</f>
        <v>2</v>
      </c>
      <c r="BN10" s="38">
        <f>BF10</f>
        <v>1</v>
      </c>
      <c r="BO10" s="159"/>
      <c r="BP10" s="159"/>
      <c r="BQ10" s="159"/>
      <c r="BR10" s="52">
        <f>BJ10</f>
        <v>5</v>
      </c>
      <c r="BS10" s="52">
        <f>BK10</f>
        <v>4</v>
      </c>
      <c r="BT10" s="52">
        <f>BL10</f>
        <v>3</v>
      </c>
      <c r="BU10" s="52">
        <f>BM10</f>
        <v>2</v>
      </c>
      <c r="BV10" s="52">
        <f>BN10</f>
        <v>1</v>
      </c>
      <c r="BW10" s="162"/>
      <c r="BX10" s="174"/>
      <c r="BY10" s="174"/>
      <c r="BZ10" s="170"/>
      <c r="CA10" s="158"/>
      <c r="CB10" s="158"/>
      <c r="CC10" s="158"/>
      <c r="CD10" s="158"/>
      <c r="CE10" s="158"/>
      <c r="CF10" s="158"/>
      <c r="CG10" s="158"/>
      <c r="CH10" s="158"/>
      <c r="CI10" s="158"/>
      <c r="CJ10" s="158"/>
    </row>
    <row r="11" spans="1:88" x14ac:dyDescent="0.45">
      <c r="A11" s="24">
        <f t="shared" ref="A11:A20" si="0">ROW(C11)-10</f>
        <v>1</v>
      </c>
      <c r="B11" s="24" t="str">
        <f t="array" ref="B11">IF(ISBLANK(C11),"",INDEX(Table1585[[รหัสวิทยากร]:[ชื่อและนามสกุล]],MATCH(C11,Table1585[ชื่อและนามสกุล],0),1))</f>
        <v>VIR0001</v>
      </c>
      <c r="C11" s="25" t="s">
        <v>259</v>
      </c>
      <c r="D11" s="25" t="s">
        <v>209</v>
      </c>
      <c r="E11" s="47">
        <f t="shared" ref="E11:E20" si="1">AVERAGE(K11,S11,AA11,AI11,AQ11,AY11,BG11,BO11)</f>
        <v>40</v>
      </c>
      <c r="F11" s="42">
        <v>10</v>
      </c>
      <c r="G11" s="42">
        <v>15</v>
      </c>
      <c r="H11" s="42">
        <v>15</v>
      </c>
      <c r="I11" s="42"/>
      <c r="J11" s="42"/>
      <c r="K11" s="51">
        <f t="shared" ref="K11:K20" si="2">SUM(F11:J11)</f>
        <v>40</v>
      </c>
      <c r="L11" s="49">
        <f>IFERROR(((5*F11)+(4*G11)+(3*H11)+(2*I11)+(1*J11))/K11,"0")</f>
        <v>3.875</v>
      </c>
      <c r="M11" s="50">
        <f>IFERROR(SQRT(((25*F11)+(16*G11)+(9*H11)+(4*I11)+(1*J11))/K11-(L11^2)),"0")</f>
        <v>0.78062474979979979</v>
      </c>
      <c r="N11" s="42">
        <v>29</v>
      </c>
      <c r="O11" s="42">
        <v>4</v>
      </c>
      <c r="P11" s="42">
        <v>7</v>
      </c>
      <c r="Q11" s="42"/>
      <c r="R11" s="42"/>
      <c r="S11" s="48">
        <f t="shared" ref="S11:S20" si="3">SUM(N11:R11)</f>
        <v>40</v>
      </c>
      <c r="T11" s="49">
        <f>IFERROR(((5*N11)+(4*O11)+(3*P11)+(2*Q11)+(1*R11))/S11,"0")</f>
        <v>4.55</v>
      </c>
      <c r="U11" s="50">
        <f>IFERROR(SQRT(((25*N11)+(16*O11)+(9*P11)+(4*Q11)+(1*R11))/S11-(T11^2)),"0")</f>
        <v>0.77298124168701776</v>
      </c>
      <c r="V11" s="42">
        <v>10</v>
      </c>
      <c r="W11" s="42">
        <v>15</v>
      </c>
      <c r="X11" s="42">
        <v>15</v>
      </c>
      <c r="Y11" s="42"/>
      <c r="Z11" s="42"/>
      <c r="AA11" s="48">
        <f t="shared" ref="AA11:AA20" si="4">SUM(V11:Z11)</f>
        <v>40</v>
      </c>
      <c r="AB11" s="49">
        <f>IFERROR(((5*V11)+(4*W11)+(3*X11)+(2*Y11)+(1*Z11))/AA11,"0")</f>
        <v>3.875</v>
      </c>
      <c r="AC11" s="50">
        <f>IFERROR(SQRT(((25*V11)+(16*W11)+(9*X11)+(4*Y11)+(1*Z11))/AA11-(AB11^2)),"0")</f>
        <v>0.78062474979979979</v>
      </c>
      <c r="AD11" s="42">
        <v>29</v>
      </c>
      <c r="AE11" s="42">
        <v>4</v>
      </c>
      <c r="AF11" s="42">
        <v>7</v>
      </c>
      <c r="AG11" s="42"/>
      <c r="AH11" s="42"/>
      <c r="AI11" s="48">
        <f t="shared" ref="AI11:AI20" si="5">SUM(AD11:AH11)</f>
        <v>40</v>
      </c>
      <c r="AJ11" s="49">
        <f>IFERROR(((5*AD11)+(4*AE11)+(3*AF11)+(2*AG11)+(1*AH11))/AI11,"0")</f>
        <v>4.55</v>
      </c>
      <c r="AK11" s="50">
        <f>IFERROR(SQRT(((25*AD11)+(16*AE11)+(9*AF11)+(4*AG11)+(1*AH11))/AI11-(AJ11^2)),"0")</f>
        <v>0.77298124168701776</v>
      </c>
      <c r="AL11" s="42">
        <v>10</v>
      </c>
      <c r="AM11" s="42">
        <v>15</v>
      </c>
      <c r="AN11" s="42">
        <v>15</v>
      </c>
      <c r="AO11" s="42"/>
      <c r="AP11" s="42"/>
      <c r="AQ11" s="48">
        <f t="shared" ref="AQ11:AQ20" si="6">SUM(AL11:AP11)</f>
        <v>40</v>
      </c>
      <c r="AR11" s="49">
        <f>IFERROR(((5*AL11)+(4*AM11)+(3*AN11)+(2*AO11)+(1*AP11))/AQ11,"0")</f>
        <v>3.875</v>
      </c>
      <c r="AS11" s="50">
        <f>IFERROR(SQRT(((25*AL11)+(16*AM11)+(9*AN11)+(4*AO11)+(1*AP11))/AQ11-(AR11^2)),"0")</f>
        <v>0.78062474979979979</v>
      </c>
      <c r="AT11" s="42">
        <v>29</v>
      </c>
      <c r="AU11" s="42">
        <v>4</v>
      </c>
      <c r="AV11" s="42">
        <v>7</v>
      </c>
      <c r="AW11" s="42"/>
      <c r="AX11" s="42"/>
      <c r="AY11" s="48">
        <f t="shared" ref="AY11:AY20" si="7">SUM(AT11:AX11)</f>
        <v>40</v>
      </c>
      <c r="AZ11" s="49">
        <f>IFERROR(((5*AT11)+(4*AU11)+(3*AV11)+(2*AW11)+(1*AX11))/AY11,"0")</f>
        <v>4.55</v>
      </c>
      <c r="BA11" s="50">
        <f>IFERROR(SQRT(((25*AT11)+(16*AU11)+(9*AV11)+(4*AW11)+(1*AX11))/AY11-(AZ11^2)),"0")</f>
        <v>0.77298124168701776</v>
      </c>
      <c r="BB11" s="42">
        <v>10</v>
      </c>
      <c r="BC11" s="42">
        <v>15</v>
      </c>
      <c r="BD11" s="42">
        <v>15</v>
      </c>
      <c r="BE11" s="42"/>
      <c r="BF11" s="42"/>
      <c r="BG11" s="48">
        <f t="shared" ref="BG11:BG20" si="8">SUM(BB11:BF11)</f>
        <v>40</v>
      </c>
      <c r="BH11" s="49">
        <f>IFERROR(((5*BB11)+(4*BC11)+(3*BD11)+(2*BE11)+(1*BF11))/BG11,"0")</f>
        <v>3.875</v>
      </c>
      <c r="BI11" s="50">
        <f>IFERROR(SQRT(((25*BB11)+(16*BC11)+(9*BD11)+(4*BE11)+(1*BF11))/BG11-(BH11^2)),"0")</f>
        <v>0.78062474979979979</v>
      </c>
      <c r="BJ11" s="42">
        <v>29</v>
      </c>
      <c r="BK11" s="42">
        <v>4</v>
      </c>
      <c r="BL11" s="42">
        <v>7</v>
      </c>
      <c r="BM11" s="42"/>
      <c r="BN11" s="42"/>
      <c r="BO11" s="48">
        <f t="shared" ref="BO11:BO20" si="9">SUM(BJ11:BN11)</f>
        <v>40</v>
      </c>
      <c r="BP11" s="49">
        <f>IFERROR(((5*BJ11)+(4*BK11)+(3*BL11)+(2*BM11)+(1*BN11))/BO11,"0")</f>
        <v>4.55</v>
      </c>
      <c r="BQ11" s="50">
        <f>IFERROR(SQRT(((25*BJ11)+(16*BK11)+(9*BL11)+(4*BM11)+(1*BN11))/BO11-(BP11^2)),"0")</f>
        <v>0.77298124168701776</v>
      </c>
      <c r="BR11" s="41">
        <f t="shared" ref="BR11:BR20" si="10">SUM(F11,N11,V11,AD11,AL11,AT11,BB11,BJ11)</f>
        <v>156</v>
      </c>
      <c r="BS11" s="41">
        <f t="shared" ref="BS11:BS20" si="11">SUM(G11,O11,W11,AE11,AM11,AU11,BC11,BK11)</f>
        <v>76</v>
      </c>
      <c r="BT11" s="41">
        <f t="shared" ref="BT11:BT20" si="12">SUM(H11,P11,X11,AF11,AN11,AV11,BD11,BL11)</f>
        <v>88</v>
      </c>
      <c r="BU11" s="41">
        <f t="shared" ref="BU11:BU20" si="13">SUM(I11,Q11,Y11,AG11,AO11,AW11,BE11,BM11)</f>
        <v>0</v>
      </c>
      <c r="BV11" s="41">
        <f t="shared" ref="BV11:BV20" si="14">SUM(J11,R11,Z11,AH11,AP11,AX11,BF11,BN11)</f>
        <v>0</v>
      </c>
      <c r="BW11" s="41">
        <f t="shared" ref="BW11:BW20" si="15">SUM(K11,S11,AA11,AI11,AQ11,AY11,BG11,BO11)</f>
        <v>320</v>
      </c>
      <c r="BX11" s="53">
        <f>IFERROR(((5*BR11)+(4*BS11)+(3*BT11)+(2*BU11)+(1*BV11))/BW11,"0")</f>
        <v>4.2125000000000004</v>
      </c>
      <c r="BY11" s="54">
        <f>IFERROR(SQRT(((25*BR11)+(16*BS11)+(9*BT11)+(4*BU11)+(1*BV11))/BW11-(BX11^2)),"0")</f>
        <v>0.84696148082424283</v>
      </c>
      <c r="BZ11" s="55" t="str">
        <f>IF(BX11="0","",IF(BX11&gt;=4.5,"ดีมาก",IF(BX11&gt;=3.5,"ดี",IF(BX11&gt;=2.5,"ปานกลาง",IF(BX11&gt;=1.5,"พอใช้",IF(BX11&gt;=0,"ควรปรับปรุง"))))))</f>
        <v>ดี</v>
      </c>
      <c r="CA11" s="46"/>
      <c r="CB11" s="46"/>
      <c r="CC11" s="46"/>
      <c r="CD11" s="46"/>
      <c r="CE11" s="46"/>
      <c r="CF11" s="46"/>
      <c r="CG11" s="46"/>
      <c r="CH11" s="46"/>
      <c r="CI11" s="46"/>
      <c r="CJ11" s="46"/>
    </row>
    <row r="12" spans="1:88" x14ac:dyDescent="0.45">
      <c r="A12" s="24">
        <f t="shared" si="0"/>
        <v>2</v>
      </c>
      <c r="B12" s="24" t="str">
        <f t="array" ref="B12">IF(ISBLANK(C12),"",INDEX(Table1585[[รหัสวิทยากร]:[ชื่อและนามสกุล]],MATCH(C12,Table1585[ชื่อและนามสกุล],0),1))</f>
        <v>VIR0002</v>
      </c>
      <c r="C12" s="25" t="s">
        <v>260</v>
      </c>
      <c r="D12" s="25" t="s">
        <v>210</v>
      </c>
      <c r="E12" s="47">
        <f t="shared" si="1"/>
        <v>40</v>
      </c>
      <c r="F12" s="42">
        <v>9</v>
      </c>
      <c r="G12" s="42">
        <v>12</v>
      </c>
      <c r="H12" s="42">
        <v>19</v>
      </c>
      <c r="I12" s="42"/>
      <c r="J12" s="42"/>
      <c r="K12" s="51">
        <f t="shared" si="2"/>
        <v>40</v>
      </c>
      <c r="L12" s="49">
        <f t="shared" ref="L12:L20" si="16">IFERROR(((5*F12)+(4*G12)+(3*H12)+(2*I12)+(1*J12))/K12,"0")</f>
        <v>3.75</v>
      </c>
      <c r="M12" s="50">
        <f t="shared" ref="M12:M20" si="17">IFERROR(SQRT(((25*F12)+(16*G12)+(9*H12)+(4*I12)+(1*J12))/K12-(L12^2)),"0")</f>
        <v>0.79843597113356513</v>
      </c>
      <c r="N12" s="42">
        <v>18</v>
      </c>
      <c r="O12" s="42">
        <v>18</v>
      </c>
      <c r="P12" s="42">
        <v>4</v>
      </c>
      <c r="Q12" s="42"/>
      <c r="R12" s="42"/>
      <c r="S12" s="48">
        <f t="shared" si="3"/>
        <v>40</v>
      </c>
      <c r="T12" s="49">
        <f t="shared" ref="T12:T20" si="18">IFERROR(((5*N12)+(4*O12)+(3*P12)+(2*Q12)+(1*R12))/S12,"0")</f>
        <v>4.3499999999999996</v>
      </c>
      <c r="U12" s="50">
        <f t="shared" ref="U12:U20" si="19">IFERROR(SQRT(((25*N12)+(16*O12)+(9*P12)+(4*Q12)+(1*R12))/S12-(T12^2)),"0")</f>
        <v>0.65383484153110527</v>
      </c>
      <c r="V12" s="42">
        <v>9</v>
      </c>
      <c r="W12" s="42">
        <v>12</v>
      </c>
      <c r="X12" s="42">
        <v>19</v>
      </c>
      <c r="Y12" s="42"/>
      <c r="Z12" s="42"/>
      <c r="AA12" s="48">
        <f t="shared" si="4"/>
        <v>40</v>
      </c>
      <c r="AB12" s="49">
        <f t="shared" ref="AB12:AB20" si="20">IFERROR(((5*V12)+(4*W12)+(3*X12)+(2*Y12)+(1*Z12))/AA12,"0")</f>
        <v>3.75</v>
      </c>
      <c r="AC12" s="50">
        <f t="shared" ref="AC12:AC20" si="21">IFERROR(SQRT(((25*V12)+(16*W12)+(9*X12)+(4*Y12)+(1*Z12))/AA12-(AB12^2)),"0")</f>
        <v>0.79843597113356513</v>
      </c>
      <c r="AD12" s="42">
        <v>18</v>
      </c>
      <c r="AE12" s="42">
        <v>18</v>
      </c>
      <c r="AF12" s="42">
        <v>4</v>
      </c>
      <c r="AG12" s="42"/>
      <c r="AH12" s="42"/>
      <c r="AI12" s="48">
        <f t="shared" si="5"/>
        <v>40</v>
      </c>
      <c r="AJ12" s="49">
        <f t="shared" ref="AJ12:AJ20" si="22">IFERROR(((5*AD12)+(4*AE12)+(3*AF12)+(2*AG12)+(1*AH12))/AI12,"0")</f>
        <v>4.3499999999999996</v>
      </c>
      <c r="AK12" s="50">
        <f t="shared" ref="AK12:AK20" si="23">IFERROR(SQRT(((25*AD12)+(16*AE12)+(9*AF12)+(4*AG12)+(1*AH12))/AI12-(AJ12^2)),"0")</f>
        <v>0.65383484153110527</v>
      </c>
      <c r="AL12" s="42">
        <v>9</v>
      </c>
      <c r="AM12" s="42">
        <v>12</v>
      </c>
      <c r="AN12" s="42">
        <v>19</v>
      </c>
      <c r="AO12" s="42"/>
      <c r="AP12" s="42"/>
      <c r="AQ12" s="48">
        <f t="shared" si="6"/>
        <v>40</v>
      </c>
      <c r="AR12" s="49">
        <f t="shared" ref="AR12:AR20" si="24">IFERROR(((5*AL12)+(4*AM12)+(3*AN12)+(2*AO12)+(1*AP12))/AQ12,"0")</f>
        <v>3.75</v>
      </c>
      <c r="AS12" s="50">
        <f t="shared" ref="AS12:AS20" si="25">IFERROR(SQRT(((25*AL12)+(16*AM12)+(9*AN12)+(4*AO12)+(1*AP12))/AQ12-(AR12^2)),"0")</f>
        <v>0.79843597113356513</v>
      </c>
      <c r="AT12" s="42">
        <v>18</v>
      </c>
      <c r="AU12" s="42">
        <v>18</v>
      </c>
      <c r="AV12" s="42">
        <v>4</v>
      </c>
      <c r="AW12" s="42"/>
      <c r="AX12" s="42"/>
      <c r="AY12" s="48">
        <f t="shared" si="7"/>
        <v>40</v>
      </c>
      <c r="AZ12" s="49">
        <f t="shared" ref="AZ12:AZ20" si="26">IFERROR(((5*AT12)+(4*AU12)+(3*AV12)+(2*AW12)+(1*AX12))/AY12,"0")</f>
        <v>4.3499999999999996</v>
      </c>
      <c r="BA12" s="50">
        <f t="shared" ref="BA12:BA20" si="27">IFERROR(SQRT(((25*AT12)+(16*AU12)+(9*AV12)+(4*AW12)+(1*AX12))/AY12-(AZ12^2)),"0")</f>
        <v>0.65383484153110527</v>
      </c>
      <c r="BB12" s="42">
        <v>9</v>
      </c>
      <c r="BC12" s="42">
        <v>12</v>
      </c>
      <c r="BD12" s="42">
        <v>19</v>
      </c>
      <c r="BE12" s="42"/>
      <c r="BF12" s="42"/>
      <c r="BG12" s="48">
        <f t="shared" si="8"/>
        <v>40</v>
      </c>
      <c r="BH12" s="49">
        <f t="shared" ref="BH12:BH20" si="28">IFERROR(((5*BB12)+(4*BC12)+(3*BD12)+(2*BE12)+(1*BF12))/BG12,"0")</f>
        <v>3.75</v>
      </c>
      <c r="BI12" s="50">
        <f t="shared" ref="BI12:BI20" si="29">IFERROR(SQRT(((25*BB12)+(16*BC12)+(9*BD12)+(4*BE12)+(1*BF12))/BG12-(BH12^2)),"0")</f>
        <v>0.79843597113356513</v>
      </c>
      <c r="BJ12" s="42">
        <v>18</v>
      </c>
      <c r="BK12" s="42">
        <v>18</v>
      </c>
      <c r="BL12" s="42">
        <v>4</v>
      </c>
      <c r="BM12" s="42"/>
      <c r="BN12" s="42"/>
      <c r="BO12" s="48">
        <f t="shared" si="9"/>
        <v>40</v>
      </c>
      <c r="BP12" s="49">
        <f t="shared" ref="BP12:BP20" si="30">IFERROR(((5*BJ12)+(4*BK12)+(3*BL12)+(2*BM12)+(1*BN12))/BO12,"0")</f>
        <v>4.3499999999999996</v>
      </c>
      <c r="BQ12" s="50">
        <f t="shared" ref="BQ12:BQ20" si="31">IFERROR(SQRT(((25*BJ12)+(16*BK12)+(9*BL12)+(4*BM12)+(1*BN12))/BO12-(BP12^2)),"0")</f>
        <v>0.65383484153110527</v>
      </c>
      <c r="BR12" s="41">
        <f t="shared" si="10"/>
        <v>108</v>
      </c>
      <c r="BS12" s="41">
        <f t="shared" si="11"/>
        <v>120</v>
      </c>
      <c r="BT12" s="41">
        <f t="shared" si="12"/>
        <v>92</v>
      </c>
      <c r="BU12" s="41">
        <f t="shared" si="13"/>
        <v>0</v>
      </c>
      <c r="BV12" s="41">
        <f t="shared" si="14"/>
        <v>0</v>
      </c>
      <c r="BW12" s="41">
        <f t="shared" si="15"/>
        <v>320</v>
      </c>
      <c r="BX12" s="53">
        <f t="shared" ref="BX12:BX20" si="32">IFERROR(((5*BR12)+(4*BS12)+(3*BT12)+(2*BU12)+(1*BV12))/BW12,"0")</f>
        <v>4.05</v>
      </c>
      <c r="BY12" s="54">
        <f t="shared" ref="BY12:BY20" si="33">IFERROR(SQRT(((25*BR12)+(16*BS12)+(9*BT12)+(4*BU12)+(1*BV12))/BW12-(BX12^2)),"0")</f>
        <v>0.78898669190297421</v>
      </c>
      <c r="BZ12" s="57" t="str">
        <f t="shared" ref="BZ12:BZ20" si="34">IF(BX12="0","",IF(BX12&gt;=4.5,"ดีมาก",IF(BX12&gt;=3.5,"ดี",IF(BX12&gt;=2.5,"ปานกลาง",IF(BX12&gt;=1.5,"พอใช้",IF(BX12&gt;=0,"ควรปรับปรุง"))))))</f>
        <v>ดี</v>
      </c>
      <c r="CA12" s="46"/>
      <c r="CB12" s="46"/>
      <c r="CC12" s="46"/>
      <c r="CD12" s="46"/>
      <c r="CE12" s="46"/>
      <c r="CF12" s="46"/>
      <c r="CG12" s="46"/>
      <c r="CH12" s="46"/>
      <c r="CI12" s="46"/>
      <c r="CJ12" s="46"/>
    </row>
    <row r="13" spans="1:88" x14ac:dyDescent="0.45">
      <c r="A13" s="24">
        <f t="shared" si="0"/>
        <v>3</v>
      </c>
      <c r="B13" s="24" t="str">
        <f t="array" ref="B13">IF(ISBLANK(C13),"",INDEX(Table1585[[รหัสวิทยากร]:[ชื่อและนามสกุล]],MATCH(C13,Table1585[ชื่อและนามสกุล],0),1))</f>
        <v>VIR0003</v>
      </c>
      <c r="C13" s="25" t="s">
        <v>261</v>
      </c>
      <c r="D13" s="25" t="s">
        <v>211</v>
      </c>
      <c r="E13" s="47">
        <f t="shared" si="1"/>
        <v>40</v>
      </c>
      <c r="F13" s="42">
        <v>20</v>
      </c>
      <c r="G13" s="42">
        <v>20</v>
      </c>
      <c r="H13" s="42"/>
      <c r="I13" s="42"/>
      <c r="J13" s="42"/>
      <c r="K13" s="51">
        <f t="shared" si="2"/>
        <v>40</v>
      </c>
      <c r="L13" s="49">
        <f t="shared" si="16"/>
        <v>4.5</v>
      </c>
      <c r="M13" s="50">
        <f t="shared" si="17"/>
        <v>0.5</v>
      </c>
      <c r="N13" s="42">
        <v>15</v>
      </c>
      <c r="O13" s="42">
        <v>16</v>
      </c>
      <c r="P13" s="42">
        <v>9</v>
      </c>
      <c r="Q13" s="42"/>
      <c r="R13" s="42"/>
      <c r="S13" s="48">
        <f t="shared" si="3"/>
        <v>40</v>
      </c>
      <c r="T13" s="49">
        <f t="shared" si="18"/>
        <v>4.1500000000000004</v>
      </c>
      <c r="U13" s="50">
        <f t="shared" si="19"/>
        <v>0.75993420767853126</v>
      </c>
      <c r="V13" s="42">
        <v>20</v>
      </c>
      <c r="W13" s="42">
        <v>20</v>
      </c>
      <c r="X13" s="42"/>
      <c r="Y13" s="42"/>
      <c r="Z13" s="42"/>
      <c r="AA13" s="48">
        <f t="shared" si="4"/>
        <v>40</v>
      </c>
      <c r="AB13" s="49">
        <f t="shared" si="20"/>
        <v>4.5</v>
      </c>
      <c r="AC13" s="50">
        <f t="shared" si="21"/>
        <v>0.5</v>
      </c>
      <c r="AD13" s="42">
        <v>15</v>
      </c>
      <c r="AE13" s="42">
        <v>16</v>
      </c>
      <c r="AF13" s="42">
        <v>9</v>
      </c>
      <c r="AG13" s="42"/>
      <c r="AH13" s="42"/>
      <c r="AI13" s="48">
        <f t="shared" si="5"/>
        <v>40</v>
      </c>
      <c r="AJ13" s="49">
        <f t="shared" si="22"/>
        <v>4.1500000000000004</v>
      </c>
      <c r="AK13" s="50">
        <f t="shared" si="23"/>
        <v>0.75993420767853126</v>
      </c>
      <c r="AL13" s="42">
        <v>20</v>
      </c>
      <c r="AM13" s="42">
        <v>20</v>
      </c>
      <c r="AN13" s="42"/>
      <c r="AO13" s="42"/>
      <c r="AP13" s="42"/>
      <c r="AQ13" s="48">
        <f t="shared" si="6"/>
        <v>40</v>
      </c>
      <c r="AR13" s="49">
        <f t="shared" si="24"/>
        <v>4.5</v>
      </c>
      <c r="AS13" s="50">
        <f t="shared" si="25"/>
        <v>0.5</v>
      </c>
      <c r="AT13" s="42">
        <v>15</v>
      </c>
      <c r="AU13" s="42">
        <v>16</v>
      </c>
      <c r="AV13" s="42">
        <v>9</v>
      </c>
      <c r="AW13" s="42"/>
      <c r="AX13" s="42"/>
      <c r="AY13" s="48">
        <f t="shared" si="7"/>
        <v>40</v>
      </c>
      <c r="AZ13" s="49">
        <f t="shared" si="26"/>
        <v>4.1500000000000004</v>
      </c>
      <c r="BA13" s="50">
        <f t="shared" si="27"/>
        <v>0.75993420767853126</v>
      </c>
      <c r="BB13" s="42">
        <v>20</v>
      </c>
      <c r="BC13" s="42">
        <v>20</v>
      </c>
      <c r="BD13" s="42"/>
      <c r="BE13" s="42"/>
      <c r="BF13" s="42"/>
      <c r="BG13" s="48">
        <f t="shared" si="8"/>
        <v>40</v>
      </c>
      <c r="BH13" s="49">
        <f t="shared" si="28"/>
        <v>4.5</v>
      </c>
      <c r="BI13" s="50">
        <f t="shared" si="29"/>
        <v>0.5</v>
      </c>
      <c r="BJ13" s="42">
        <v>15</v>
      </c>
      <c r="BK13" s="42">
        <v>16</v>
      </c>
      <c r="BL13" s="42">
        <v>9</v>
      </c>
      <c r="BM13" s="42"/>
      <c r="BN13" s="42"/>
      <c r="BO13" s="48">
        <f t="shared" si="9"/>
        <v>40</v>
      </c>
      <c r="BP13" s="49">
        <f t="shared" si="30"/>
        <v>4.1500000000000004</v>
      </c>
      <c r="BQ13" s="50">
        <f t="shared" si="31"/>
        <v>0.75993420767853126</v>
      </c>
      <c r="BR13" s="41">
        <f t="shared" si="10"/>
        <v>140</v>
      </c>
      <c r="BS13" s="41">
        <f t="shared" si="11"/>
        <v>144</v>
      </c>
      <c r="BT13" s="41">
        <f t="shared" si="12"/>
        <v>36</v>
      </c>
      <c r="BU13" s="41">
        <f t="shared" si="13"/>
        <v>0</v>
      </c>
      <c r="BV13" s="41">
        <f t="shared" si="14"/>
        <v>0</v>
      </c>
      <c r="BW13" s="41">
        <f t="shared" si="15"/>
        <v>320</v>
      </c>
      <c r="BX13" s="53">
        <f t="shared" si="32"/>
        <v>4.3250000000000002</v>
      </c>
      <c r="BY13" s="54">
        <f t="shared" si="33"/>
        <v>0.66661458129866713</v>
      </c>
      <c r="BZ13" s="57" t="str">
        <f t="shared" si="34"/>
        <v>ดี</v>
      </c>
      <c r="CA13" s="46"/>
      <c r="CB13" s="46"/>
      <c r="CC13" s="46"/>
      <c r="CD13" s="46"/>
      <c r="CE13" s="46"/>
      <c r="CF13" s="46"/>
      <c r="CG13" s="46"/>
      <c r="CH13" s="46"/>
      <c r="CI13" s="46"/>
      <c r="CJ13" s="46"/>
    </row>
    <row r="14" spans="1:88" x14ac:dyDescent="0.45">
      <c r="A14" s="24">
        <f t="shared" si="0"/>
        <v>4</v>
      </c>
      <c r="B14" s="24" t="str">
        <f t="array" ref="B14">IF(ISBLANK(C14),"",INDEX(Table1585[[รหัสวิทยากร]:[ชื่อและนามสกุล]],MATCH(C14,Table1585[ชื่อและนามสกุล],0),1))</f>
        <v>VIR0008</v>
      </c>
      <c r="C14" s="25" t="s">
        <v>262</v>
      </c>
      <c r="D14" s="25" t="s">
        <v>212</v>
      </c>
      <c r="E14" s="47">
        <f t="shared" si="1"/>
        <v>40</v>
      </c>
      <c r="F14" s="42">
        <v>19</v>
      </c>
      <c r="G14" s="42">
        <v>19</v>
      </c>
      <c r="H14" s="42">
        <v>2</v>
      </c>
      <c r="I14" s="42"/>
      <c r="J14" s="42"/>
      <c r="K14" s="51">
        <f t="shared" si="2"/>
        <v>40</v>
      </c>
      <c r="L14" s="49">
        <f t="shared" si="16"/>
        <v>4.4249999999999998</v>
      </c>
      <c r="M14" s="50">
        <f t="shared" si="17"/>
        <v>0.58683472971527761</v>
      </c>
      <c r="N14" s="42">
        <v>22</v>
      </c>
      <c r="O14" s="42">
        <v>15</v>
      </c>
      <c r="P14" s="42">
        <v>3</v>
      </c>
      <c r="Q14" s="42"/>
      <c r="R14" s="42"/>
      <c r="S14" s="48">
        <f t="shared" si="3"/>
        <v>40</v>
      </c>
      <c r="T14" s="49">
        <f t="shared" si="18"/>
        <v>4.4749999999999996</v>
      </c>
      <c r="U14" s="50">
        <f t="shared" si="19"/>
        <v>0.63196123298822904</v>
      </c>
      <c r="V14" s="42">
        <v>19</v>
      </c>
      <c r="W14" s="42">
        <v>19</v>
      </c>
      <c r="X14" s="42">
        <v>2</v>
      </c>
      <c r="Y14" s="42"/>
      <c r="Z14" s="42"/>
      <c r="AA14" s="48">
        <f t="shared" si="4"/>
        <v>40</v>
      </c>
      <c r="AB14" s="49">
        <f t="shared" si="20"/>
        <v>4.4249999999999998</v>
      </c>
      <c r="AC14" s="50">
        <f t="shared" si="21"/>
        <v>0.58683472971527761</v>
      </c>
      <c r="AD14" s="42">
        <v>22</v>
      </c>
      <c r="AE14" s="42">
        <v>15</v>
      </c>
      <c r="AF14" s="42">
        <v>3</v>
      </c>
      <c r="AG14" s="42"/>
      <c r="AH14" s="42"/>
      <c r="AI14" s="48">
        <f t="shared" si="5"/>
        <v>40</v>
      </c>
      <c r="AJ14" s="49">
        <f t="shared" si="22"/>
        <v>4.4749999999999996</v>
      </c>
      <c r="AK14" s="50">
        <f t="shared" si="23"/>
        <v>0.63196123298822904</v>
      </c>
      <c r="AL14" s="42">
        <v>19</v>
      </c>
      <c r="AM14" s="42">
        <v>19</v>
      </c>
      <c r="AN14" s="42">
        <v>2</v>
      </c>
      <c r="AO14" s="42"/>
      <c r="AP14" s="42"/>
      <c r="AQ14" s="48">
        <f t="shared" si="6"/>
        <v>40</v>
      </c>
      <c r="AR14" s="49">
        <f t="shared" si="24"/>
        <v>4.4249999999999998</v>
      </c>
      <c r="AS14" s="50">
        <f t="shared" si="25"/>
        <v>0.58683472971527761</v>
      </c>
      <c r="AT14" s="42">
        <v>22</v>
      </c>
      <c r="AU14" s="42">
        <v>15</v>
      </c>
      <c r="AV14" s="42">
        <v>3</v>
      </c>
      <c r="AW14" s="42"/>
      <c r="AX14" s="42"/>
      <c r="AY14" s="48">
        <f t="shared" si="7"/>
        <v>40</v>
      </c>
      <c r="AZ14" s="49">
        <f t="shared" si="26"/>
        <v>4.4749999999999996</v>
      </c>
      <c r="BA14" s="50">
        <f t="shared" si="27"/>
        <v>0.63196123298822904</v>
      </c>
      <c r="BB14" s="42">
        <v>19</v>
      </c>
      <c r="BC14" s="42">
        <v>19</v>
      </c>
      <c r="BD14" s="42">
        <v>2</v>
      </c>
      <c r="BE14" s="42"/>
      <c r="BF14" s="42"/>
      <c r="BG14" s="48">
        <f t="shared" si="8"/>
        <v>40</v>
      </c>
      <c r="BH14" s="49">
        <f t="shared" si="28"/>
        <v>4.4249999999999998</v>
      </c>
      <c r="BI14" s="50">
        <f t="shared" si="29"/>
        <v>0.58683472971527761</v>
      </c>
      <c r="BJ14" s="42">
        <v>22</v>
      </c>
      <c r="BK14" s="42">
        <v>15</v>
      </c>
      <c r="BL14" s="42">
        <v>3</v>
      </c>
      <c r="BM14" s="42"/>
      <c r="BN14" s="42"/>
      <c r="BO14" s="48">
        <f t="shared" si="9"/>
        <v>40</v>
      </c>
      <c r="BP14" s="49">
        <f t="shared" si="30"/>
        <v>4.4749999999999996</v>
      </c>
      <c r="BQ14" s="50">
        <f t="shared" si="31"/>
        <v>0.63196123298822904</v>
      </c>
      <c r="BR14" s="41">
        <f t="shared" si="10"/>
        <v>164</v>
      </c>
      <c r="BS14" s="41">
        <f t="shared" si="11"/>
        <v>136</v>
      </c>
      <c r="BT14" s="41">
        <f t="shared" si="12"/>
        <v>20</v>
      </c>
      <c r="BU14" s="41">
        <f t="shared" si="13"/>
        <v>0</v>
      </c>
      <c r="BV14" s="41">
        <f t="shared" si="14"/>
        <v>0</v>
      </c>
      <c r="BW14" s="41">
        <f t="shared" si="15"/>
        <v>320</v>
      </c>
      <c r="BX14" s="53">
        <f t="shared" si="32"/>
        <v>4.45</v>
      </c>
      <c r="BY14" s="54">
        <f t="shared" si="33"/>
        <v>0.61032778078668415</v>
      </c>
      <c r="BZ14" s="57" t="str">
        <f t="shared" si="34"/>
        <v>ดี</v>
      </c>
      <c r="CA14" s="46"/>
      <c r="CB14" s="46"/>
      <c r="CC14" s="46"/>
      <c r="CD14" s="46"/>
      <c r="CE14" s="46"/>
      <c r="CF14" s="46"/>
      <c r="CG14" s="46"/>
      <c r="CH14" s="46"/>
      <c r="CI14" s="46"/>
      <c r="CJ14" s="46"/>
    </row>
    <row r="15" spans="1:88" x14ac:dyDescent="0.45">
      <c r="A15" s="24">
        <f t="shared" si="0"/>
        <v>5</v>
      </c>
      <c r="B15" s="24" t="str">
        <f t="array" ref="B15">IF(ISBLANK(C15),"",INDEX(Table1585[[รหัสวิทยากร]:[ชื่อและนามสกุล]],MATCH(C15,Table1585[ชื่อและนามสกุล],0),1))</f>
        <v>VIR0024</v>
      </c>
      <c r="C15" s="25" t="s">
        <v>263</v>
      </c>
      <c r="D15" s="25" t="s">
        <v>213</v>
      </c>
      <c r="E15" s="47">
        <f t="shared" si="1"/>
        <v>40</v>
      </c>
      <c r="F15" s="42">
        <v>14</v>
      </c>
      <c r="G15" s="42">
        <v>15</v>
      </c>
      <c r="H15" s="42">
        <v>11</v>
      </c>
      <c r="I15" s="42"/>
      <c r="J15" s="42"/>
      <c r="K15" s="51">
        <f t="shared" si="2"/>
        <v>40</v>
      </c>
      <c r="L15" s="49">
        <f t="shared" si="16"/>
        <v>4.0750000000000002</v>
      </c>
      <c r="M15" s="50">
        <f t="shared" si="17"/>
        <v>0.78700381193486069</v>
      </c>
      <c r="N15" s="42">
        <v>11</v>
      </c>
      <c r="O15" s="42">
        <v>18</v>
      </c>
      <c r="P15" s="42">
        <v>11</v>
      </c>
      <c r="Q15" s="42"/>
      <c r="R15" s="42"/>
      <c r="S15" s="48">
        <f t="shared" si="3"/>
        <v>40</v>
      </c>
      <c r="T15" s="49">
        <f t="shared" si="18"/>
        <v>4</v>
      </c>
      <c r="U15" s="50">
        <f t="shared" si="19"/>
        <v>0.74161984870956676</v>
      </c>
      <c r="V15" s="42">
        <v>14</v>
      </c>
      <c r="W15" s="42">
        <v>15</v>
      </c>
      <c r="X15" s="42">
        <v>11</v>
      </c>
      <c r="Y15" s="42"/>
      <c r="Z15" s="42"/>
      <c r="AA15" s="48">
        <f t="shared" si="4"/>
        <v>40</v>
      </c>
      <c r="AB15" s="49">
        <f t="shared" si="20"/>
        <v>4.0750000000000002</v>
      </c>
      <c r="AC15" s="50">
        <f t="shared" si="21"/>
        <v>0.78700381193486069</v>
      </c>
      <c r="AD15" s="42">
        <v>11</v>
      </c>
      <c r="AE15" s="42">
        <v>18</v>
      </c>
      <c r="AF15" s="42">
        <v>11</v>
      </c>
      <c r="AG15" s="42"/>
      <c r="AH15" s="42"/>
      <c r="AI15" s="48">
        <f t="shared" si="5"/>
        <v>40</v>
      </c>
      <c r="AJ15" s="49">
        <f t="shared" si="22"/>
        <v>4</v>
      </c>
      <c r="AK15" s="50">
        <f t="shared" si="23"/>
        <v>0.74161984870956676</v>
      </c>
      <c r="AL15" s="42">
        <v>14</v>
      </c>
      <c r="AM15" s="42">
        <v>15</v>
      </c>
      <c r="AN15" s="42">
        <v>11</v>
      </c>
      <c r="AO15" s="42"/>
      <c r="AP15" s="42"/>
      <c r="AQ15" s="48">
        <f t="shared" si="6"/>
        <v>40</v>
      </c>
      <c r="AR15" s="49">
        <f t="shared" si="24"/>
        <v>4.0750000000000002</v>
      </c>
      <c r="AS15" s="50">
        <f t="shared" si="25"/>
        <v>0.78700381193486069</v>
      </c>
      <c r="AT15" s="42">
        <v>11</v>
      </c>
      <c r="AU15" s="42">
        <v>18</v>
      </c>
      <c r="AV15" s="42">
        <v>11</v>
      </c>
      <c r="AW15" s="42"/>
      <c r="AX15" s="42"/>
      <c r="AY15" s="48">
        <f t="shared" si="7"/>
        <v>40</v>
      </c>
      <c r="AZ15" s="49">
        <f t="shared" si="26"/>
        <v>4</v>
      </c>
      <c r="BA15" s="50">
        <f t="shared" si="27"/>
        <v>0.74161984870956676</v>
      </c>
      <c r="BB15" s="42">
        <v>14</v>
      </c>
      <c r="BC15" s="42">
        <v>15</v>
      </c>
      <c r="BD15" s="42">
        <v>11</v>
      </c>
      <c r="BE15" s="42"/>
      <c r="BF15" s="42"/>
      <c r="BG15" s="48">
        <f t="shared" si="8"/>
        <v>40</v>
      </c>
      <c r="BH15" s="49">
        <f t="shared" si="28"/>
        <v>4.0750000000000002</v>
      </c>
      <c r="BI15" s="50">
        <f t="shared" si="29"/>
        <v>0.78700381193486069</v>
      </c>
      <c r="BJ15" s="42">
        <v>11</v>
      </c>
      <c r="BK15" s="42">
        <v>18</v>
      </c>
      <c r="BL15" s="42">
        <v>11</v>
      </c>
      <c r="BM15" s="42"/>
      <c r="BN15" s="42"/>
      <c r="BO15" s="48">
        <f t="shared" si="9"/>
        <v>40</v>
      </c>
      <c r="BP15" s="49">
        <f t="shared" si="30"/>
        <v>4</v>
      </c>
      <c r="BQ15" s="50">
        <f t="shared" si="31"/>
        <v>0.74161984870956676</v>
      </c>
      <c r="BR15" s="41">
        <f t="shared" si="10"/>
        <v>100</v>
      </c>
      <c r="BS15" s="41">
        <f t="shared" si="11"/>
        <v>132</v>
      </c>
      <c r="BT15" s="41">
        <f t="shared" si="12"/>
        <v>88</v>
      </c>
      <c r="BU15" s="41">
        <f t="shared" si="13"/>
        <v>0</v>
      </c>
      <c r="BV15" s="41">
        <f t="shared" si="14"/>
        <v>0</v>
      </c>
      <c r="BW15" s="41">
        <f t="shared" si="15"/>
        <v>320</v>
      </c>
      <c r="BX15" s="53">
        <f t="shared" si="32"/>
        <v>4.0374999999999996</v>
      </c>
      <c r="BY15" s="54">
        <f t="shared" si="33"/>
        <v>0.76556759988913026</v>
      </c>
      <c r="BZ15" s="57" t="str">
        <f t="shared" si="34"/>
        <v>ดี</v>
      </c>
      <c r="CA15" s="46"/>
      <c r="CB15" s="46"/>
      <c r="CC15" s="46"/>
      <c r="CD15" s="46"/>
      <c r="CE15" s="46"/>
      <c r="CF15" s="46"/>
      <c r="CG15" s="46"/>
      <c r="CH15" s="46"/>
      <c r="CI15" s="46"/>
      <c r="CJ15" s="46"/>
    </row>
    <row r="16" spans="1:88" x14ac:dyDescent="0.45">
      <c r="A16" s="24">
        <f t="shared" si="0"/>
        <v>6</v>
      </c>
      <c r="B16" s="24" t="str">
        <f t="array" ref="B16">IF(ISBLANK(C16),"",INDEX(Table1585[[รหัสวิทยากร]:[ชื่อและนามสกุล]],MATCH(C16,Table1585[ชื่อและนามสกุล],0),1))</f>
        <v>VIR0006</v>
      </c>
      <c r="C16" s="25" t="s">
        <v>264</v>
      </c>
      <c r="D16" s="25" t="s">
        <v>214</v>
      </c>
      <c r="E16" s="47">
        <f t="shared" si="1"/>
        <v>40</v>
      </c>
      <c r="F16" s="42">
        <v>11</v>
      </c>
      <c r="G16" s="42">
        <v>18</v>
      </c>
      <c r="H16" s="42">
        <v>11</v>
      </c>
      <c r="I16" s="42"/>
      <c r="J16" s="42"/>
      <c r="K16" s="51">
        <f t="shared" si="2"/>
        <v>40</v>
      </c>
      <c r="L16" s="49">
        <f t="shared" si="16"/>
        <v>4</v>
      </c>
      <c r="M16" s="50">
        <f t="shared" si="17"/>
        <v>0.74161984870956676</v>
      </c>
      <c r="N16" s="42">
        <v>14</v>
      </c>
      <c r="O16" s="42">
        <v>15</v>
      </c>
      <c r="P16" s="42">
        <v>11</v>
      </c>
      <c r="Q16" s="42"/>
      <c r="R16" s="42"/>
      <c r="S16" s="48">
        <f t="shared" si="3"/>
        <v>40</v>
      </c>
      <c r="T16" s="49">
        <f t="shared" si="18"/>
        <v>4.0750000000000002</v>
      </c>
      <c r="U16" s="50">
        <f t="shared" si="19"/>
        <v>0.78700381193486069</v>
      </c>
      <c r="V16" s="42">
        <v>11</v>
      </c>
      <c r="W16" s="42">
        <v>18</v>
      </c>
      <c r="X16" s="42">
        <v>11</v>
      </c>
      <c r="Y16" s="42"/>
      <c r="Z16" s="42"/>
      <c r="AA16" s="48">
        <f t="shared" si="4"/>
        <v>40</v>
      </c>
      <c r="AB16" s="49">
        <f t="shared" si="20"/>
        <v>4</v>
      </c>
      <c r="AC16" s="50">
        <f t="shared" si="21"/>
        <v>0.74161984870956676</v>
      </c>
      <c r="AD16" s="42">
        <v>14</v>
      </c>
      <c r="AE16" s="42">
        <v>15</v>
      </c>
      <c r="AF16" s="42">
        <v>11</v>
      </c>
      <c r="AG16" s="42"/>
      <c r="AH16" s="42"/>
      <c r="AI16" s="48">
        <f t="shared" si="5"/>
        <v>40</v>
      </c>
      <c r="AJ16" s="49">
        <f t="shared" si="22"/>
        <v>4.0750000000000002</v>
      </c>
      <c r="AK16" s="50">
        <f t="shared" si="23"/>
        <v>0.78700381193486069</v>
      </c>
      <c r="AL16" s="42">
        <v>11</v>
      </c>
      <c r="AM16" s="42">
        <v>18</v>
      </c>
      <c r="AN16" s="42">
        <v>11</v>
      </c>
      <c r="AO16" s="44"/>
      <c r="AP16" s="58"/>
      <c r="AQ16" s="48">
        <f t="shared" si="6"/>
        <v>40</v>
      </c>
      <c r="AR16" s="49">
        <f t="shared" si="24"/>
        <v>4</v>
      </c>
      <c r="AS16" s="50">
        <f t="shared" si="25"/>
        <v>0.74161984870956676</v>
      </c>
      <c r="AT16" s="42">
        <v>14</v>
      </c>
      <c r="AU16" s="42">
        <v>15</v>
      </c>
      <c r="AV16" s="42">
        <v>11</v>
      </c>
      <c r="AW16" s="42"/>
      <c r="AX16" s="42"/>
      <c r="AY16" s="48">
        <f t="shared" si="7"/>
        <v>40</v>
      </c>
      <c r="AZ16" s="49">
        <f t="shared" si="26"/>
        <v>4.0750000000000002</v>
      </c>
      <c r="BA16" s="50">
        <f t="shared" si="27"/>
        <v>0.78700381193486069</v>
      </c>
      <c r="BB16" s="42">
        <v>11</v>
      </c>
      <c r="BC16" s="42">
        <v>18</v>
      </c>
      <c r="BD16" s="42">
        <v>11</v>
      </c>
      <c r="BE16" s="42"/>
      <c r="BF16" s="42"/>
      <c r="BG16" s="48">
        <f t="shared" si="8"/>
        <v>40</v>
      </c>
      <c r="BH16" s="49">
        <f t="shared" si="28"/>
        <v>4</v>
      </c>
      <c r="BI16" s="50">
        <f t="shared" si="29"/>
        <v>0.74161984870956676</v>
      </c>
      <c r="BJ16" s="42">
        <v>14</v>
      </c>
      <c r="BK16" s="42">
        <v>15</v>
      </c>
      <c r="BL16" s="42">
        <v>11</v>
      </c>
      <c r="BM16" s="44"/>
      <c r="BN16" s="44"/>
      <c r="BO16" s="48">
        <f t="shared" si="9"/>
        <v>40</v>
      </c>
      <c r="BP16" s="49">
        <f t="shared" si="30"/>
        <v>4.0750000000000002</v>
      </c>
      <c r="BQ16" s="50">
        <f t="shared" si="31"/>
        <v>0.78700381193486069</v>
      </c>
      <c r="BR16" s="41">
        <f t="shared" si="10"/>
        <v>100</v>
      </c>
      <c r="BS16" s="41">
        <f t="shared" si="11"/>
        <v>132</v>
      </c>
      <c r="BT16" s="41">
        <f t="shared" si="12"/>
        <v>88</v>
      </c>
      <c r="BU16" s="41">
        <f t="shared" si="13"/>
        <v>0</v>
      </c>
      <c r="BV16" s="41">
        <f t="shared" si="14"/>
        <v>0</v>
      </c>
      <c r="BW16" s="41">
        <f t="shared" si="15"/>
        <v>320</v>
      </c>
      <c r="BX16" s="53">
        <f t="shared" si="32"/>
        <v>4.0374999999999996</v>
      </c>
      <c r="BY16" s="54">
        <f t="shared" si="33"/>
        <v>0.76556759988913026</v>
      </c>
      <c r="BZ16" s="57" t="str">
        <f t="shared" si="34"/>
        <v>ดี</v>
      </c>
      <c r="CA16" s="46"/>
      <c r="CB16" s="46"/>
      <c r="CC16" s="46"/>
      <c r="CD16" s="46"/>
      <c r="CE16" s="46"/>
      <c r="CF16" s="46"/>
      <c r="CG16" s="46"/>
      <c r="CH16" s="46"/>
      <c r="CI16" s="46"/>
      <c r="CJ16" s="46"/>
    </row>
    <row r="17" spans="1:88" x14ac:dyDescent="0.45">
      <c r="A17" s="24">
        <f t="shared" si="0"/>
        <v>7</v>
      </c>
      <c r="B17" s="24" t="str">
        <f t="array" ref="B17">IF(ISBLANK(C17),"",INDEX(Table1585[[รหัสวิทยากร]:[ชื่อและนามสกุล]],MATCH(C17,Table1585[ชื่อและนามสกุล],0),1))</f>
        <v>VIR0028</v>
      </c>
      <c r="C17" s="25" t="s">
        <v>265</v>
      </c>
      <c r="D17" s="25" t="s">
        <v>215</v>
      </c>
      <c r="E17" s="47">
        <f t="shared" si="1"/>
        <v>40</v>
      </c>
      <c r="F17" s="42">
        <v>22</v>
      </c>
      <c r="G17" s="42">
        <v>15</v>
      </c>
      <c r="H17" s="42">
        <v>3</v>
      </c>
      <c r="I17" s="42"/>
      <c r="J17" s="42"/>
      <c r="K17" s="51">
        <f t="shared" si="2"/>
        <v>40</v>
      </c>
      <c r="L17" s="49">
        <f t="shared" si="16"/>
        <v>4.4749999999999996</v>
      </c>
      <c r="M17" s="50">
        <f t="shared" si="17"/>
        <v>0.63196123298822904</v>
      </c>
      <c r="N17" s="42">
        <v>19</v>
      </c>
      <c r="O17" s="42">
        <v>19</v>
      </c>
      <c r="P17" s="42">
        <v>2</v>
      </c>
      <c r="Q17" s="42"/>
      <c r="R17" s="42"/>
      <c r="S17" s="48">
        <f t="shared" si="3"/>
        <v>40</v>
      </c>
      <c r="T17" s="49">
        <f t="shared" si="18"/>
        <v>4.4249999999999998</v>
      </c>
      <c r="U17" s="50">
        <f t="shared" si="19"/>
        <v>0.58683472971527761</v>
      </c>
      <c r="V17" s="42">
        <v>22</v>
      </c>
      <c r="W17" s="42">
        <v>15</v>
      </c>
      <c r="X17" s="42">
        <v>3</v>
      </c>
      <c r="Y17" s="42"/>
      <c r="Z17" s="42"/>
      <c r="AA17" s="48">
        <f t="shared" si="4"/>
        <v>40</v>
      </c>
      <c r="AB17" s="49">
        <f t="shared" si="20"/>
        <v>4.4749999999999996</v>
      </c>
      <c r="AC17" s="50">
        <f t="shared" si="21"/>
        <v>0.63196123298822904</v>
      </c>
      <c r="AD17" s="42">
        <v>19</v>
      </c>
      <c r="AE17" s="42">
        <v>19</v>
      </c>
      <c r="AF17" s="42">
        <v>2</v>
      </c>
      <c r="AG17" s="42"/>
      <c r="AH17" s="42"/>
      <c r="AI17" s="48">
        <f t="shared" si="5"/>
        <v>40</v>
      </c>
      <c r="AJ17" s="49">
        <f t="shared" si="22"/>
        <v>4.4249999999999998</v>
      </c>
      <c r="AK17" s="50">
        <f t="shared" si="23"/>
        <v>0.58683472971527761</v>
      </c>
      <c r="AL17" s="42">
        <v>22</v>
      </c>
      <c r="AM17" s="42">
        <v>15</v>
      </c>
      <c r="AN17" s="42">
        <v>3</v>
      </c>
      <c r="AO17" s="42"/>
      <c r="AP17" s="42"/>
      <c r="AQ17" s="48">
        <f t="shared" si="6"/>
        <v>40</v>
      </c>
      <c r="AR17" s="49">
        <f t="shared" si="24"/>
        <v>4.4749999999999996</v>
      </c>
      <c r="AS17" s="50">
        <f t="shared" si="25"/>
        <v>0.63196123298822904</v>
      </c>
      <c r="AT17" s="42">
        <v>19</v>
      </c>
      <c r="AU17" s="42">
        <v>19</v>
      </c>
      <c r="AV17" s="42">
        <v>2</v>
      </c>
      <c r="AW17" s="42"/>
      <c r="AX17" s="42"/>
      <c r="AY17" s="48">
        <f t="shared" si="7"/>
        <v>40</v>
      </c>
      <c r="AZ17" s="49">
        <f t="shared" si="26"/>
        <v>4.4249999999999998</v>
      </c>
      <c r="BA17" s="50">
        <f t="shared" si="27"/>
        <v>0.58683472971527761</v>
      </c>
      <c r="BB17" s="42">
        <v>22</v>
      </c>
      <c r="BC17" s="42">
        <v>15</v>
      </c>
      <c r="BD17" s="42">
        <v>3</v>
      </c>
      <c r="BE17" s="42"/>
      <c r="BF17" s="42"/>
      <c r="BG17" s="48">
        <f t="shared" si="8"/>
        <v>40</v>
      </c>
      <c r="BH17" s="49">
        <f t="shared" si="28"/>
        <v>4.4749999999999996</v>
      </c>
      <c r="BI17" s="50">
        <f t="shared" si="29"/>
        <v>0.63196123298822904</v>
      </c>
      <c r="BJ17" s="42">
        <v>19</v>
      </c>
      <c r="BK17" s="42">
        <v>19</v>
      </c>
      <c r="BL17" s="42">
        <v>2</v>
      </c>
      <c r="BM17" s="42"/>
      <c r="BN17" s="42"/>
      <c r="BO17" s="48">
        <f t="shared" si="9"/>
        <v>40</v>
      </c>
      <c r="BP17" s="49">
        <f t="shared" si="30"/>
        <v>4.4249999999999998</v>
      </c>
      <c r="BQ17" s="50">
        <f t="shared" si="31"/>
        <v>0.58683472971527761</v>
      </c>
      <c r="BR17" s="41">
        <f t="shared" si="10"/>
        <v>164</v>
      </c>
      <c r="BS17" s="41">
        <f t="shared" si="11"/>
        <v>136</v>
      </c>
      <c r="BT17" s="41">
        <f t="shared" si="12"/>
        <v>20</v>
      </c>
      <c r="BU17" s="41">
        <f t="shared" si="13"/>
        <v>0</v>
      </c>
      <c r="BV17" s="41">
        <f t="shared" si="14"/>
        <v>0</v>
      </c>
      <c r="BW17" s="41">
        <f t="shared" si="15"/>
        <v>320</v>
      </c>
      <c r="BX17" s="53">
        <f t="shared" si="32"/>
        <v>4.45</v>
      </c>
      <c r="BY17" s="54">
        <f t="shared" si="33"/>
        <v>0.61032778078668415</v>
      </c>
      <c r="BZ17" s="57" t="str">
        <f t="shared" si="34"/>
        <v>ดี</v>
      </c>
      <c r="CA17" s="46"/>
      <c r="CB17" s="46"/>
      <c r="CC17" s="46"/>
      <c r="CD17" s="46"/>
      <c r="CE17" s="46"/>
      <c r="CF17" s="46"/>
      <c r="CG17" s="46"/>
      <c r="CH17" s="46"/>
      <c r="CI17" s="46"/>
      <c r="CJ17" s="46"/>
    </row>
    <row r="18" spans="1:88" x14ac:dyDescent="0.45">
      <c r="A18" s="24">
        <f t="shared" si="0"/>
        <v>8</v>
      </c>
      <c r="B18" s="24" t="str">
        <f t="array" ref="B18">IF(ISBLANK(C18),"",INDEX(Table1585[[รหัสวิทยากร]:[ชื่อและนามสกุล]],MATCH(C18,Table1585[ชื่อและนามสกุล],0),1))</f>
        <v>VIR0039</v>
      </c>
      <c r="C18" s="25" t="s">
        <v>266</v>
      </c>
      <c r="D18" s="25" t="s">
        <v>216</v>
      </c>
      <c r="E18" s="47">
        <f t="shared" si="1"/>
        <v>40</v>
      </c>
      <c r="F18" s="42">
        <v>15</v>
      </c>
      <c r="G18" s="42">
        <v>16</v>
      </c>
      <c r="H18" s="42">
        <v>9</v>
      </c>
      <c r="I18" s="43"/>
      <c r="J18" s="43"/>
      <c r="K18" s="51">
        <f t="shared" si="2"/>
        <v>40</v>
      </c>
      <c r="L18" s="49">
        <f t="shared" si="16"/>
        <v>4.1500000000000004</v>
      </c>
      <c r="M18" s="50">
        <f t="shared" si="17"/>
        <v>0.75993420767853126</v>
      </c>
      <c r="N18" s="42">
        <v>20</v>
      </c>
      <c r="O18" s="42">
        <v>20</v>
      </c>
      <c r="P18" s="42"/>
      <c r="Q18" s="44"/>
      <c r="R18" s="44"/>
      <c r="S18" s="48">
        <f t="shared" si="3"/>
        <v>40</v>
      </c>
      <c r="T18" s="49">
        <f t="shared" si="18"/>
        <v>4.5</v>
      </c>
      <c r="U18" s="50">
        <f t="shared" si="19"/>
        <v>0.5</v>
      </c>
      <c r="V18" s="42">
        <v>15</v>
      </c>
      <c r="W18" s="42">
        <v>16</v>
      </c>
      <c r="X18" s="42">
        <v>9</v>
      </c>
      <c r="Y18" s="45"/>
      <c r="Z18" s="45"/>
      <c r="AA18" s="48">
        <f t="shared" si="4"/>
        <v>40</v>
      </c>
      <c r="AB18" s="49">
        <f t="shared" si="20"/>
        <v>4.1500000000000004</v>
      </c>
      <c r="AC18" s="50">
        <f t="shared" si="21"/>
        <v>0.75993420767853126</v>
      </c>
      <c r="AD18" s="42">
        <v>20</v>
      </c>
      <c r="AE18" s="42">
        <v>20</v>
      </c>
      <c r="AF18" s="42"/>
      <c r="AG18" s="45"/>
      <c r="AH18" s="45"/>
      <c r="AI18" s="48">
        <f t="shared" si="5"/>
        <v>40</v>
      </c>
      <c r="AJ18" s="49">
        <f t="shared" si="22"/>
        <v>4.5</v>
      </c>
      <c r="AK18" s="50">
        <f t="shared" si="23"/>
        <v>0.5</v>
      </c>
      <c r="AL18" s="42">
        <v>15</v>
      </c>
      <c r="AM18" s="42">
        <v>16</v>
      </c>
      <c r="AN18" s="42">
        <v>9</v>
      </c>
      <c r="AO18" s="42"/>
      <c r="AP18" s="42"/>
      <c r="AQ18" s="48">
        <f t="shared" si="6"/>
        <v>40</v>
      </c>
      <c r="AR18" s="49">
        <f t="shared" si="24"/>
        <v>4.1500000000000004</v>
      </c>
      <c r="AS18" s="50">
        <f t="shared" si="25"/>
        <v>0.75993420767853126</v>
      </c>
      <c r="AT18" s="42">
        <v>20</v>
      </c>
      <c r="AU18" s="42">
        <v>20</v>
      </c>
      <c r="AV18" s="42"/>
      <c r="AW18" s="42"/>
      <c r="AX18" s="42"/>
      <c r="AY18" s="48">
        <f t="shared" si="7"/>
        <v>40</v>
      </c>
      <c r="AZ18" s="49">
        <f t="shared" si="26"/>
        <v>4.5</v>
      </c>
      <c r="BA18" s="50">
        <f t="shared" si="27"/>
        <v>0.5</v>
      </c>
      <c r="BB18" s="42">
        <v>15</v>
      </c>
      <c r="BC18" s="42">
        <v>16</v>
      </c>
      <c r="BD18" s="42">
        <v>9</v>
      </c>
      <c r="BE18" s="42"/>
      <c r="BF18" s="42"/>
      <c r="BG18" s="48">
        <f t="shared" si="8"/>
        <v>40</v>
      </c>
      <c r="BH18" s="49">
        <f t="shared" si="28"/>
        <v>4.1500000000000004</v>
      </c>
      <c r="BI18" s="50">
        <f t="shared" si="29"/>
        <v>0.75993420767853126</v>
      </c>
      <c r="BJ18" s="42">
        <v>20</v>
      </c>
      <c r="BK18" s="42">
        <v>20</v>
      </c>
      <c r="BL18" s="42"/>
      <c r="BM18" s="42"/>
      <c r="BN18" s="42"/>
      <c r="BO18" s="48">
        <f t="shared" si="9"/>
        <v>40</v>
      </c>
      <c r="BP18" s="49">
        <f t="shared" si="30"/>
        <v>4.5</v>
      </c>
      <c r="BQ18" s="50">
        <f t="shared" si="31"/>
        <v>0.5</v>
      </c>
      <c r="BR18" s="41">
        <f t="shared" si="10"/>
        <v>140</v>
      </c>
      <c r="BS18" s="41">
        <f t="shared" si="11"/>
        <v>144</v>
      </c>
      <c r="BT18" s="41">
        <f t="shared" si="12"/>
        <v>36</v>
      </c>
      <c r="BU18" s="41">
        <f t="shared" si="13"/>
        <v>0</v>
      </c>
      <c r="BV18" s="41">
        <f t="shared" si="14"/>
        <v>0</v>
      </c>
      <c r="BW18" s="41">
        <f t="shared" si="15"/>
        <v>320</v>
      </c>
      <c r="BX18" s="53">
        <f t="shared" si="32"/>
        <v>4.3250000000000002</v>
      </c>
      <c r="BY18" s="54">
        <f t="shared" si="33"/>
        <v>0.66661458129866713</v>
      </c>
      <c r="BZ18" s="57" t="str">
        <f t="shared" si="34"/>
        <v>ดี</v>
      </c>
      <c r="CA18" s="46"/>
      <c r="CB18" s="46"/>
      <c r="CC18" s="46"/>
      <c r="CD18" s="46"/>
      <c r="CE18" s="46"/>
      <c r="CF18" s="46"/>
      <c r="CG18" s="46"/>
      <c r="CH18" s="46"/>
      <c r="CI18" s="46"/>
      <c r="CJ18" s="46"/>
    </row>
    <row r="19" spans="1:88" x14ac:dyDescent="0.45">
      <c r="A19" s="24">
        <f t="shared" si="0"/>
        <v>9</v>
      </c>
      <c r="B19" s="24" t="str">
        <f t="array" ref="B19">IF(ISBLANK(C19),"",INDEX(Table1585[[รหัสวิทยากร]:[ชื่อและนามสกุล]],MATCH(C19,Table1585[ชื่อและนามสกุล],0),1))</f>
        <v>VIR0035</v>
      </c>
      <c r="C19" s="25" t="s">
        <v>267</v>
      </c>
      <c r="D19" s="25" t="s">
        <v>217</v>
      </c>
      <c r="E19" s="47">
        <f t="shared" si="1"/>
        <v>40</v>
      </c>
      <c r="F19" s="42">
        <v>18</v>
      </c>
      <c r="G19" s="42">
        <v>18</v>
      </c>
      <c r="H19" s="42">
        <v>4</v>
      </c>
      <c r="I19" s="30"/>
      <c r="J19" s="30"/>
      <c r="K19" s="51">
        <f t="shared" si="2"/>
        <v>40</v>
      </c>
      <c r="L19" s="49">
        <f t="shared" si="16"/>
        <v>4.3499999999999996</v>
      </c>
      <c r="M19" s="50">
        <f t="shared" si="17"/>
        <v>0.65383484153110527</v>
      </c>
      <c r="N19" s="42">
        <v>9</v>
      </c>
      <c r="O19" s="42">
        <v>12</v>
      </c>
      <c r="P19" s="42">
        <v>19</v>
      </c>
      <c r="Q19" s="44"/>
      <c r="R19" s="44"/>
      <c r="S19" s="48">
        <f t="shared" si="3"/>
        <v>40</v>
      </c>
      <c r="T19" s="49">
        <f t="shared" si="18"/>
        <v>3.75</v>
      </c>
      <c r="U19" s="50">
        <f t="shared" si="19"/>
        <v>0.79843597113356513</v>
      </c>
      <c r="V19" s="42">
        <v>18</v>
      </c>
      <c r="W19" s="42">
        <v>18</v>
      </c>
      <c r="X19" s="42">
        <v>4</v>
      </c>
      <c r="Y19" s="45"/>
      <c r="Z19" s="45"/>
      <c r="AA19" s="48">
        <f t="shared" si="4"/>
        <v>40</v>
      </c>
      <c r="AB19" s="49">
        <f t="shared" si="20"/>
        <v>4.3499999999999996</v>
      </c>
      <c r="AC19" s="50">
        <f t="shared" si="21"/>
        <v>0.65383484153110527</v>
      </c>
      <c r="AD19" s="42">
        <v>9</v>
      </c>
      <c r="AE19" s="42">
        <v>12</v>
      </c>
      <c r="AF19" s="42">
        <v>19</v>
      </c>
      <c r="AG19" s="45"/>
      <c r="AH19" s="45"/>
      <c r="AI19" s="48">
        <f t="shared" si="5"/>
        <v>40</v>
      </c>
      <c r="AJ19" s="49">
        <f t="shared" si="22"/>
        <v>3.75</v>
      </c>
      <c r="AK19" s="50">
        <f t="shared" si="23"/>
        <v>0.79843597113356513</v>
      </c>
      <c r="AL19" s="42">
        <v>18</v>
      </c>
      <c r="AM19" s="42">
        <v>18</v>
      </c>
      <c r="AN19" s="42">
        <v>4</v>
      </c>
      <c r="AO19" s="42"/>
      <c r="AP19" s="42"/>
      <c r="AQ19" s="48">
        <f t="shared" si="6"/>
        <v>40</v>
      </c>
      <c r="AR19" s="49">
        <f t="shared" si="24"/>
        <v>4.3499999999999996</v>
      </c>
      <c r="AS19" s="50">
        <f t="shared" si="25"/>
        <v>0.65383484153110527</v>
      </c>
      <c r="AT19" s="42">
        <v>9</v>
      </c>
      <c r="AU19" s="42">
        <v>12</v>
      </c>
      <c r="AV19" s="42">
        <v>19</v>
      </c>
      <c r="AW19" s="42"/>
      <c r="AX19" s="42"/>
      <c r="AY19" s="48">
        <f t="shared" si="7"/>
        <v>40</v>
      </c>
      <c r="AZ19" s="49">
        <f t="shared" si="26"/>
        <v>3.75</v>
      </c>
      <c r="BA19" s="50">
        <f t="shared" si="27"/>
        <v>0.79843597113356513</v>
      </c>
      <c r="BB19" s="42">
        <v>18</v>
      </c>
      <c r="BC19" s="42">
        <v>18</v>
      </c>
      <c r="BD19" s="42">
        <v>4</v>
      </c>
      <c r="BE19" s="42"/>
      <c r="BF19" s="42"/>
      <c r="BG19" s="48">
        <f t="shared" si="8"/>
        <v>40</v>
      </c>
      <c r="BH19" s="49">
        <f t="shared" si="28"/>
        <v>4.3499999999999996</v>
      </c>
      <c r="BI19" s="50">
        <f t="shared" si="29"/>
        <v>0.65383484153110527</v>
      </c>
      <c r="BJ19" s="42">
        <v>9</v>
      </c>
      <c r="BK19" s="42">
        <v>12</v>
      </c>
      <c r="BL19" s="42">
        <v>19</v>
      </c>
      <c r="BM19" s="42"/>
      <c r="BN19" s="42"/>
      <c r="BO19" s="48">
        <f t="shared" si="9"/>
        <v>40</v>
      </c>
      <c r="BP19" s="49">
        <f t="shared" si="30"/>
        <v>3.75</v>
      </c>
      <c r="BQ19" s="50">
        <f t="shared" si="31"/>
        <v>0.79843597113356513</v>
      </c>
      <c r="BR19" s="41">
        <f t="shared" si="10"/>
        <v>108</v>
      </c>
      <c r="BS19" s="41">
        <f t="shared" si="11"/>
        <v>120</v>
      </c>
      <c r="BT19" s="41">
        <f t="shared" si="12"/>
        <v>92</v>
      </c>
      <c r="BU19" s="41">
        <f t="shared" si="13"/>
        <v>0</v>
      </c>
      <c r="BV19" s="41">
        <f t="shared" si="14"/>
        <v>0</v>
      </c>
      <c r="BW19" s="41">
        <f t="shared" si="15"/>
        <v>320</v>
      </c>
      <c r="BX19" s="53">
        <f t="shared" si="32"/>
        <v>4.05</v>
      </c>
      <c r="BY19" s="54">
        <f t="shared" si="33"/>
        <v>0.78898669190297421</v>
      </c>
      <c r="BZ19" s="57" t="str">
        <f t="shared" si="34"/>
        <v>ดี</v>
      </c>
      <c r="CA19" s="46"/>
      <c r="CB19" s="46"/>
      <c r="CC19" s="46"/>
      <c r="CD19" s="46"/>
      <c r="CE19" s="46"/>
      <c r="CF19" s="46"/>
      <c r="CG19" s="46"/>
      <c r="CH19" s="46"/>
      <c r="CI19" s="46"/>
      <c r="CJ19" s="46"/>
    </row>
    <row r="20" spans="1:88" x14ac:dyDescent="0.45">
      <c r="A20" s="24">
        <f t="shared" si="0"/>
        <v>10</v>
      </c>
      <c r="B20" s="24" t="str">
        <f t="array" ref="B20">IF(ISBLANK(C20),"",INDEX(Table1585[[รหัสวิทยากร]:[ชื่อและนามสกุล]],MATCH(C20,Table1585[ชื่อและนามสกุล],0),1))</f>
        <v>VIR0015</v>
      </c>
      <c r="C20" s="25" t="s">
        <v>268</v>
      </c>
      <c r="D20" s="25" t="s">
        <v>218</v>
      </c>
      <c r="E20" s="47">
        <f t="shared" si="1"/>
        <v>40</v>
      </c>
      <c r="F20" s="42">
        <v>29</v>
      </c>
      <c r="G20" s="42">
        <v>4</v>
      </c>
      <c r="H20" s="42">
        <v>7</v>
      </c>
      <c r="I20" s="43"/>
      <c r="J20" s="43"/>
      <c r="K20" s="51">
        <f t="shared" si="2"/>
        <v>40</v>
      </c>
      <c r="L20" s="49">
        <f t="shared" si="16"/>
        <v>4.55</v>
      </c>
      <c r="M20" s="50">
        <f t="shared" si="17"/>
        <v>0.77298124168701776</v>
      </c>
      <c r="N20" s="42">
        <v>10</v>
      </c>
      <c r="O20" s="42">
        <v>15</v>
      </c>
      <c r="P20" s="42">
        <v>15</v>
      </c>
      <c r="Q20" s="44"/>
      <c r="R20" s="44"/>
      <c r="S20" s="48">
        <f t="shared" si="3"/>
        <v>40</v>
      </c>
      <c r="T20" s="49">
        <f t="shared" si="18"/>
        <v>3.875</v>
      </c>
      <c r="U20" s="50">
        <f t="shared" si="19"/>
        <v>0.78062474979979979</v>
      </c>
      <c r="V20" s="42">
        <v>29</v>
      </c>
      <c r="W20" s="42">
        <v>4</v>
      </c>
      <c r="X20" s="42">
        <v>7</v>
      </c>
      <c r="Y20" s="45"/>
      <c r="Z20" s="45"/>
      <c r="AA20" s="48">
        <f t="shared" si="4"/>
        <v>40</v>
      </c>
      <c r="AB20" s="49">
        <f t="shared" si="20"/>
        <v>4.55</v>
      </c>
      <c r="AC20" s="50">
        <f t="shared" si="21"/>
        <v>0.77298124168701776</v>
      </c>
      <c r="AD20" s="42">
        <v>10</v>
      </c>
      <c r="AE20" s="42">
        <v>15</v>
      </c>
      <c r="AF20" s="42">
        <v>15</v>
      </c>
      <c r="AG20" s="45"/>
      <c r="AH20" s="45"/>
      <c r="AI20" s="48">
        <f t="shared" si="5"/>
        <v>40</v>
      </c>
      <c r="AJ20" s="49">
        <f t="shared" si="22"/>
        <v>3.875</v>
      </c>
      <c r="AK20" s="50">
        <f t="shared" si="23"/>
        <v>0.78062474979979979</v>
      </c>
      <c r="AL20" s="42">
        <v>29</v>
      </c>
      <c r="AM20" s="42">
        <v>4</v>
      </c>
      <c r="AN20" s="42">
        <v>7</v>
      </c>
      <c r="AO20" s="42"/>
      <c r="AP20" s="42"/>
      <c r="AQ20" s="48">
        <f t="shared" si="6"/>
        <v>40</v>
      </c>
      <c r="AR20" s="49">
        <f t="shared" si="24"/>
        <v>4.55</v>
      </c>
      <c r="AS20" s="50">
        <f t="shared" si="25"/>
        <v>0.77298124168701776</v>
      </c>
      <c r="AT20" s="42">
        <v>10</v>
      </c>
      <c r="AU20" s="42">
        <v>15</v>
      </c>
      <c r="AV20" s="42">
        <v>15</v>
      </c>
      <c r="AW20" s="42"/>
      <c r="AX20" s="42"/>
      <c r="AY20" s="48">
        <f t="shared" si="7"/>
        <v>40</v>
      </c>
      <c r="AZ20" s="49">
        <f t="shared" si="26"/>
        <v>3.875</v>
      </c>
      <c r="BA20" s="50">
        <f t="shared" si="27"/>
        <v>0.78062474979979979</v>
      </c>
      <c r="BB20" s="42">
        <v>29</v>
      </c>
      <c r="BC20" s="42">
        <v>4</v>
      </c>
      <c r="BD20" s="42">
        <v>7</v>
      </c>
      <c r="BE20" s="42"/>
      <c r="BF20" s="42"/>
      <c r="BG20" s="48">
        <f t="shared" si="8"/>
        <v>40</v>
      </c>
      <c r="BH20" s="49">
        <f t="shared" si="28"/>
        <v>4.55</v>
      </c>
      <c r="BI20" s="50">
        <f t="shared" si="29"/>
        <v>0.77298124168701776</v>
      </c>
      <c r="BJ20" s="42">
        <v>10</v>
      </c>
      <c r="BK20" s="42">
        <v>15</v>
      </c>
      <c r="BL20" s="42">
        <v>15</v>
      </c>
      <c r="BM20" s="42"/>
      <c r="BN20" s="42"/>
      <c r="BO20" s="48">
        <f t="shared" si="9"/>
        <v>40</v>
      </c>
      <c r="BP20" s="49">
        <f t="shared" si="30"/>
        <v>3.875</v>
      </c>
      <c r="BQ20" s="50">
        <f t="shared" si="31"/>
        <v>0.78062474979979979</v>
      </c>
      <c r="BR20" s="41">
        <f t="shared" si="10"/>
        <v>156</v>
      </c>
      <c r="BS20" s="41">
        <f t="shared" si="11"/>
        <v>76</v>
      </c>
      <c r="BT20" s="41">
        <f t="shared" si="12"/>
        <v>88</v>
      </c>
      <c r="BU20" s="41">
        <f t="shared" si="13"/>
        <v>0</v>
      </c>
      <c r="BV20" s="41">
        <f t="shared" si="14"/>
        <v>0</v>
      </c>
      <c r="BW20" s="41">
        <f t="shared" si="15"/>
        <v>320</v>
      </c>
      <c r="BX20" s="53">
        <f t="shared" si="32"/>
        <v>4.2125000000000004</v>
      </c>
      <c r="BY20" s="54">
        <f t="shared" si="33"/>
        <v>0.84696148082424283</v>
      </c>
      <c r="BZ20" s="57" t="str">
        <f t="shared" si="34"/>
        <v>ดี</v>
      </c>
      <c r="CA20" s="46"/>
      <c r="CB20" s="46"/>
      <c r="CC20" s="46"/>
      <c r="CD20" s="46"/>
      <c r="CE20" s="46"/>
      <c r="CF20" s="46"/>
      <c r="CG20" s="46"/>
      <c r="CH20" s="46"/>
      <c r="CI20" s="46"/>
      <c r="CJ20" s="46"/>
    </row>
    <row r="21" spans="1:88" x14ac:dyDescent="0.45">
      <c r="C21" s="14"/>
      <c r="D21" s="14"/>
      <c r="E21" s="31"/>
      <c r="F21" s="31"/>
      <c r="G21" s="31"/>
      <c r="H21" s="31"/>
      <c r="I21" s="31"/>
      <c r="J21" s="31"/>
      <c r="K21" s="17"/>
      <c r="N21" s="8"/>
      <c r="O21" s="8"/>
      <c r="P21" s="8"/>
      <c r="Q21" s="8"/>
      <c r="R21" s="8"/>
      <c r="S21" s="8"/>
    </row>
    <row r="22" spans="1:88" x14ac:dyDescent="0.45">
      <c r="D22" s="3" t="s">
        <v>82</v>
      </c>
      <c r="E22" s="183" t="s">
        <v>27</v>
      </c>
      <c r="F22" s="183"/>
      <c r="G22" s="183"/>
      <c r="H22" s="183"/>
      <c r="I22" s="183"/>
      <c r="J22" s="183"/>
      <c r="K22" s="183"/>
      <c r="L22" s="183"/>
      <c r="M22" s="1" t="s">
        <v>28</v>
      </c>
      <c r="N22" s="8"/>
      <c r="O22" s="8"/>
      <c r="P22" s="8"/>
      <c r="Q22" s="8"/>
      <c r="R22" s="8"/>
      <c r="S22" s="8"/>
      <c r="AC22" s="13" t="s">
        <v>96</v>
      </c>
      <c r="AE22" s="13" t="s">
        <v>9</v>
      </c>
      <c r="AF22" s="184" t="s">
        <v>97</v>
      </c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/>
      <c r="AR22" s="184"/>
      <c r="AS22" s="184"/>
      <c r="AT22" s="184"/>
      <c r="AU22" s="184"/>
      <c r="AV22" s="184"/>
      <c r="AW22" s="184"/>
      <c r="AX22" s="20"/>
      <c r="AY22" s="20"/>
      <c r="AZ22" s="20"/>
      <c r="BA22" s="20"/>
      <c r="BB22" s="20"/>
      <c r="BC22" s="20"/>
      <c r="BF22" s="35"/>
      <c r="BG22" s="35"/>
      <c r="BH22" s="35"/>
      <c r="BI22" s="35"/>
      <c r="BJ22" s="35"/>
      <c r="BK22" s="35"/>
      <c r="BN22" s="23"/>
      <c r="BO22"/>
      <c r="BP22"/>
      <c r="BQ22"/>
      <c r="BR22"/>
      <c r="BS22"/>
      <c r="BT22"/>
      <c r="BU22"/>
      <c r="BV22"/>
      <c r="BW22"/>
      <c r="BX22"/>
      <c r="BY22"/>
      <c r="BZ22"/>
    </row>
    <row r="23" spans="1:88" x14ac:dyDescent="0.45">
      <c r="C23" s="1"/>
      <c r="D23" s="1"/>
      <c r="E23" s="183" t="s">
        <v>29</v>
      </c>
      <c r="F23" s="183"/>
      <c r="G23" s="183"/>
      <c r="H23" s="183"/>
      <c r="I23" s="183"/>
      <c r="J23" s="183"/>
      <c r="K23" s="183"/>
      <c r="L23" s="183"/>
      <c r="M23" s="1" t="s">
        <v>33</v>
      </c>
      <c r="N23" s="8"/>
      <c r="O23" s="8"/>
      <c r="P23" s="8"/>
      <c r="Q23" s="8"/>
      <c r="R23" s="8"/>
      <c r="S23" s="8"/>
      <c r="AE23" s="13" t="s">
        <v>10</v>
      </c>
      <c r="AF23" s="163" t="s">
        <v>98</v>
      </c>
      <c r="AG23" s="163"/>
      <c r="AH23" s="163"/>
      <c r="AI23" s="163"/>
      <c r="AJ23" s="163"/>
      <c r="AK23" s="163"/>
      <c r="AL23" s="163"/>
      <c r="AM23" s="163"/>
      <c r="AN23" s="163"/>
      <c r="AO23" s="163"/>
      <c r="AP23" s="163"/>
      <c r="AQ23" s="163"/>
      <c r="AR23" s="163"/>
      <c r="AS23" s="163"/>
      <c r="AT23" s="163"/>
      <c r="AU23" s="163"/>
      <c r="AV23" s="163"/>
      <c r="AW23" s="163"/>
      <c r="AX23" s="19"/>
      <c r="AY23" s="19"/>
      <c r="AZ23" s="19"/>
      <c r="BA23" s="19"/>
      <c r="BB23" s="19"/>
      <c r="BC23" s="19"/>
      <c r="BF23" s="35"/>
      <c r="BG23" s="35"/>
      <c r="BH23" s="35"/>
      <c r="BI23" s="35"/>
      <c r="BJ23" s="35"/>
      <c r="BK23" s="35"/>
      <c r="BN23" s="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88" x14ac:dyDescent="0.45">
      <c r="C24" s="1"/>
      <c r="D24" s="1"/>
      <c r="E24" s="183" t="s">
        <v>30</v>
      </c>
      <c r="F24" s="183"/>
      <c r="G24" s="183"/>
      <c r="H24" s="183"/>
      <c r="I24" s="183"/>
      <c r="J24" s="183"/>
      <c r="K24" s="183"/>
      <c r="L24" s="183"/>
      <c r="M24" s="1" t="s">
        <v>34</v>
      </c>
      <c r="N24" s="8"/>
      <c r="O24" s="8"/>
      <c r="P24" s="8"/>
      <c r="Q24" s="8"/>
      <c r="R24" s="8"/>
      <c r="S24" s="8"/>
      <c r="AE24" s="13" t="s">
        <v>11</v>
      </c>
      <c r="AF24" s="163" t="s">
        <v>99</v>
      </c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3"/>
      <c r="AR24" s="163"/>
      <c r="AS24" s="163"/>
      <c r="AT24" s="163"/>
      <c r="AU24" s="163"/>
      <c r="AV24" s="163"/>
      <c r="AW24" s="163"/>
      <c r="AX24" s="21"/>
      <c r="AY24" s="21"/>
      <c r="AZ24" s="21"/>
      <c r="BA24" s="21"/>
      <c r="BB24" s="21"/>
      <c r="BC24" s="21"/>
      <c r="BF24" s="35"/>
      <c r="BG24" s="35"/>
      <c r="BH24" s="35"/>
      <c r="BI24" s="35"/>
      <c r="BJ24" s="35"/>
      <c r="BK24" s="35"/>
      <c r="BN24" s="23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88" x14ac:dyDescent="0.45">
      <c r="C25" s="1"/>
      <c r="D25" s="1"/>
      <c r="E25" s="183" t="s">
        <v>31</v>
      </c>
      <c r="F25" s="183"/>
      <c r="G25" s="183"/>
      <c r="H25" s="183"/>
      <c r="I25" s="183"/>
      <c r="J25" s="183"/>
      <c r="K25" s="183"/>
      <c r="L25" s="183"/>
      <c r="M25" s="1" t="s">
        <v>35</v>
      </c>
      <c r="N25" s="8"/>
      <c r="O25" s="8"/>
      <c r="P25" s="8"/>
      <c r="Q25" s="8"/>
      <c r="R25" s="8"/>
      <c r="S25" s="8"/>
      <c r="AE25" s="13" t="s">
        <v>12</v>
      </c>
      <c r="AF25" s="163" t="s">
        <v>100</v>
      </c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9"/>
      <c r="AY25" s="19"/>
      <c r="AZ25" s="19"/>
      <c r="BA25" s="19"/>
      <c r="BB25" s="19"/>
      <c r="BC25" s="19"/>
      <c r="BF25" s="35"/>
      <c r="BG25" s="35"/>
      <c r="BH25" s="35"/>
      <c r="BI25" s="35"/>
      <c r="BJ25" s="35"/>
      <c r="BK25" s="35"/>
      <c r="BN25" s="23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88" x14ac:dyDescent="0.45">
      <c r="C26" s="1"/>
      <c r="D26" s="1"/>
      <c r="E26" s="183" t="s">
        <v>32</v>
      </c>
      <c r="F26" s="183"/>
      <c r="G26" s="183"/>
      <c r="H26" s="183"/>
      <c r="I26" s="183"/>
      <c r="J26" s="183"/>
      <c r="K26" s="183"/>
      <c r="L26" s="183"/>
      <c r="M26" s="1" t="s">
        <v>36</v>
      </c>
      <c r="N26" s="8"/>
      <c r="O26" s="8"/>
      <c r="P26" s="8"/>
      <c r="Q26" s="8"/>
      <c r="R26" s="8"/>
      <c r="S26" s="8"/>
      <c r="AE26" s="13" t="s">
        <v>13</v>
      </c>
      <c r="AF26" s="163" t="s">
        <v>101</v>
      </c>
      <c r="AG26" s="163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3"/>
      <c r="AS26" s="163"/>
      <c r="AT26" s="163"/>
      <c r="AU26" s="163"/>
      <c r="AV26" s="163"/>
      <c r="AW26" s="163"/>
      <c r="AX26" s="19"/>
      <c r="AY26" s="19"/>
      <c r="AZ26" s="19"/>
      <c r="BA26" s="19"/>
      <c r="BB26" s="19"/>
      <c r="BC26" s="19"/>
      <c r="BF26" s="35"/>
      <c r="BG26" s="35"/>
      <c r="BH26" s="35"/>
      <c r="BI26" s="35"/>
      <c r="BJ26" s="35"/>
      <c r="BK26" s="35"/>
      <c r="BN26" s="23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88" x14ac:dyDescent="0.45">
      <c r="N27" s="8"/>
      <c r="O27" s="8"/>
      <c r="P27" s="8"/>
      <c r="Q27" s="8"/>
      <c r="R27" s="8"/>
      <c r="S27" s="8"/>
      <c r="AE27" s="13" t="s">
        <v>14</v>
      </c>
      <c r="AF27" s="163" t="s">
        <v>102</v>
      </c>
      <c r="AG27" s="163"/>
      <c r="AH27" s="163"/>
      <c r="AI27" s="163"/>
      <c r="AJ27" s="163"/>
      <c r="AK27" s="163"/>
      <c r="AL27" s="163"/>
      <c r="AM27" s="163"/>
      <c r="AN27" s="163"/>
      <c r="AO27" s="163"/>
      <c r="AP27" s="163"/>
      <c r="AQ27" s="163"/>
      <c r="AR27" s="163"/>
      <c r="AS27" s="163"/>
      <c r="AT27" s="163"/>
      <c r="AU27" s="163"/>
      <c r="AV27" s="163"/>
      <c r="AW27" s="163"/>
      <c r="AX27" s="19"/>
      <c r="AY27" s="19"/>
      <c r="AZ27" s="19"/>
      <c r="BA27" s="19"/>
      <c r="BB27" s="19"/>
      <c r="BC27" s="19"/>
      <c r="BF27" s="35"/>
      <c r="BG27" s="35"/>
      <c r="BH27" s="35"/>
      <c r="BI27" s="35"/>
      <c r="BJ27" s="35"/>
      <c r="BK27" s="35"/>
      <c r="BN27" s="23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88" x14ac:dyDescent="0.45">
      <c r="N28" s="8"/>
      <c r="O28" s="8"/>
      <c r="P28" s="8"/>
      <c r="Q28" s="8"/>
      <c r="R28" s="8"/>
      <c r="S28" s="8"/>
      <c r="AE28" s="13" t="s">
        <v>15</v>
      </c>
      <c r="AF28" s="163" t="s">
        <v>103</v>
      </c>
      <c r="AG28" s="163"/>
      <c r="AH28" s="163"/>
      <c r="AI28" s="163"/>
      <c r="AJ28" s="163"/>
      <c r="AK28" s="163"/>
      <c r="AL28" s="163"/>
      <c r="AM28" s="163"/>
      <c r="AN28" s="163"/>
      <c r="AO28" s="163"/>
      <c r="AP28" s="163"/>
      <c r="AQ28" s="163"/>
      <c r="AR28" s="163"/>
      <c r="AS28" s="163"/>
      <c r="AT28" s="163"/>
      <c r="AU28" s="163"/>
      <c r="AV28" s="163"/>
      <c r="AW28" s="163"/>
      <c r="AX28" s="19"/>
      <c r="AY28" s="19"/>
      <c r="AZ28" s="19"/>
      <c r="BA28" s="19"/>
      <c r="BB28" s="19"/>
      <c r="BC28" s="19"/>
      <c r="BF28" s="35"/>
      <c r="BG28" s="35"/>
      <c r="BH28" s="35"/>
      <c r="BI28" s="35"/>
      <c r="BJ28" s="35"/>
      <c r="BK28" s="35"/>
      <c r="BN28" s="23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88" x14ac:dyDescent="0.45">
      <c r="N29" s="8"/>
      <c r="O29" s="8"/>
      <c r="P29" s="8"/>
      <c r="Q29" s="8"/>
      <c r="R29" s="8"/>
      <c r="S29" s="8"/>
      <c r="AE29" s="13" t="s">
        <v>16</v>
      </c>
      <c r="AF29" s="163" t="s">
        <v>104</v>
      </c>
      <c r="AG29" s="163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3"/>
      <c r="AT29" s="163"/>
      <c r="AU29" s="163"/>
      <c r="AV29" s="163"/>
      <c r="AW29" s="163"/>
      <c r="AX29" s="19"/>
      <c r="AY29" s="19"/>
      <c r="AZ29" s="19"/>
      <c r="BA29" s="19"/>
      <c r="BB29" s="19"/>
      <c r="BC29" s="19"/>
      <c r="BF29" s="35"/>
      <c r="BG29" s="35"/>
      <c r="BH29" s="35"/>
      <c r="BI29" s="35"/>
      <c r="BJ29" s="35"/>
      <c r="BK29" s="35"/>
      <c r="BN29" s="23"/>
      <c r="BO29"/>
      <c r="BP29"/>
      <c r="BQ29"/>
      <c r="BR29"/>
      <c r="BS29"/>
      <c r="BT29"/>
      <c r="BU29"/>
      <c r="BV29"/>
      <c r="BW29"/>
      <c r="BX29"/>
      <c r="BY29"/>
      <c r="BZ29"/>
    </row>
  </sheetData>
  <autoFilter ref="A8:CE10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8" showButton="0"/>
    <filterColumn colId="79" showButton="0"/>
    <filterColumn colId="80" showButton="0"/>
    <filterColumn colId="81" showButton="0"/>
    <sortState ref="A13:CD47">
      <sortCondition ref="C8:C10"/>
    </sortState>
  </autoFilter>
  <mergeCells count="89">
    <mergeCell ref="BI6:BV6"/>
    <mergeCell ref="BI5:BV5"/>
    <mergeCell ref="BA6:BF6"/>
    <mergeCell ref="BA5:BF5"/>
    <mergeCell ref="AL6:AQ6"/>
    <mergeCell ref="BG6:BH6"/>
    <mergeCell ref="BG5:BH5"/>
    <mergeCell ref="E26:L26"/>
    <mergeCell ref="F8:BZ8"/>
    <mergeCell ref="AF22:AW22"/>
    <mergeCell ref="AF23:AW23"/>
    <mergeCell ref="AF24:AW24"/>
    <mergeCell ref="AF25:AW25"/>
    <mergeCell ref="E22:L22"/>
    <mergeCell ref="E23:L23"/>
    <mergeCell ref="E24:L24"/>
    <mergeCell ref="E25:L25"/>
    <mergeCell ref="AB9:AB10"/>
    <mergeCell ref="N9:R9"/>
    <mergeCell ref="S9:S10"/>
    <mergeCell ref="BO9:BO10"/>
    <mergeCell ref="BJ9:BN9"/>
    <mergeCell ref="BR9:BV9"/>
    <mergeCell ref="A8:A10"/>
    <mergeCell ref="AC9:AC10"/>
    <mergeCell ref="L5:M5"/>
    <mergeCell ref="AX6:AZ6"/>
    <mergeCell ref="AX5:AZ5"/>
    <mergeCell ref="I5:K5"/>
    <mergeCell ref="I6:K6"/>
    <mergeCell ref="V9:Z9"/>
    <mergeCell ref="AA9:AA10"/>
    <mergeCell ref="AL5:AQ5"/>
    <mergeCell ref="AR6:AT6"/>
    <mergeCell ref="AR5:AT5"/>
    <mergeCell ref="R6:U6"/>
    <mergeCell ref="V6:AI6"/>
    <mergeCell ref="V5:AI5"/>
    <mergeCell ref="K9:K10"/>
    <mergeCell ref="A1:BZ1"/>
    <mergeCell ref="A2:BZ2"/>
    <mergeCell ref="A4:BZ4"/>
    <mergeCell ref="BZ9:BZ10"/>
    <mergeCell ref="E8:E10"/>
    <mergeCell ref="BA9:BA10"/>
    <mergeCell ref="BH9:BH10"/>
    <mergeCell ref="BI9:BI10"/>
    <mergeCell ref="BP9:BP10"/>
    <mergeCell ref="L9:L10"/>
    <mergeCell ref="M9:M10"/>
    <mergeCell ref="T9:T10"/>
    <mergeCell ref="U9:U10"/>
    <mergeCell ref="F9:J9"/>
    <mergeCell ref="BX9:BX10"/>
    <mergeCell ref="BY9:BY10"/>
    <mergeCell ref="BW9:BW10"/>
    <mergeCell ref="BQ9:BQ10"/>
    <mergeCell ref="AF27:AW27"/>
    <mergeCell ref="AF28:AW28"/>
    <mergeCell ref="AF29:AW29"/>
    <mergeCell ref="AF26:AW26"/>
    <mergeCell ref="AD9:AH9"/>
    <mergeCell ref="AI9:AI10"/>
    <mergeCell ref="AJ9:AJ10"/>
    <mergeCell ref="AK9:AK10"/>
    <mergeCell ref="AQ9:AQ10"/>
    <mergeCell ref="AR9:AR10"/>
    <mergeCell ref="AL9:AP9"/>
    <mergeCell ref="CA8:CJ8"/>
    <mergeCell ref="CA9:CA10"/>
    <mergeCell ref="CB9:CB10"/>
    <mergeCell ref="CC9:CC10"/>
    <mergeCell ref="CD9:CD10"/>
    <mergeCell ref="CE9:CE10"/>
    <mergeCell ref="CF9:CF10"/>
    <mergeCell ref="CG9:CG10"/>
    <mergeCell ref="CH9:CH10"/>
    <mergeCell ref="CI9:CI10"/>
    <mergeCell ref="CJ9:CJ10"/>
    <mergeCell ref="L6:M6"/>
    <mergeCell ref="B8:B10"/>
    <mergeCell ref="D8:D10"/>
    <mergeCell ref="AS9:AS10"/>
    <mergeCell ref="BG9:BG10"/>
    <mergeCell ref="BB9:BF9"/>
    <mergeCell ref="AZ9:AZ10"/>
    <mergeCell ref="AT9:AX9"/>
    <mergeCell ref="AY9:AY10"/>
    <mergeCell ref="C8:C10"/>
  </mergeCells>
  <conditionalFormatting sqref="D22 C1:D4 C11:D21 C9:C10 C7:D8 C5:C6 C23:D1048576">
    <cfRule type="duplicateValues" dxfId="0" priority="1"/>
  </conditionalFormatting>
  <dataValidations count="4">
    <dataValidation allowBlank="1" sqref="N1:S4 N7:S7 BO11:BO20 AA11:AA20 AI11:AI20 AQ11:AQ20 AY11:AY20 BG11:BG20 E7:E1048576 N10:R10 F10:J10 K9 BG9:BI9 BO9:BQ9 AY9:BA9 BW9:BY9 BR10:BV10 AQ9:AS9 AI9:AK9 AA9:AC9 S9 F21:J1048576 V10:Z10 AL10:AP10 S11:S1048576 AT10:AX10 BJ10:BN10 D11:D20 E1:K4 F7:K7 AD10:AH10 BB10:BF10 N21:R1048576 K11:K1048576"/>
    <dataValidation type="list" allowBlank="1" sqref="C11:C20">
      <formula1>Data_Staff</formula1>
    </dataValidation>
    <dataValidation type="whole" allowBlank="1" showInputMessage="1" showErrorMessage="1" errorTitle="คุณใส่ไม่ถูกต้อง" error="กรุณาระบุจำนวนตัวเลข 1 - 999 เท่านั้น" sqref="F11:J20 BJ11:BN20 BB11:BF20 AT11:AX20 AL11:AP20 AD11:AH20 V11:Z20 N11:R20">
      <formula1>1</formula1>
      <formula2>999</formula2>
    </dataValidation>
    <dataValidation allowBlank="1" errorTitle="คุณใส่ไม่ถูกต้อง" error="กรุณาระบุจำนวนตัวเลข 1 - 999 เท่านั้น" sqref="CA11:CJ20"/>
  </dataValidations>
  <printOptions horizontalCentered="1"/>
  <pageMargins left="0.23622047244094491" right="0.23622047244094491" top="0.74803149606299213" bottom="0.74803149606299213" header="0.31496062992125984" footer="0.31496062992125984"/>
  <pageSetup paperSize="125" scale="2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_Copy">
                <anchor moveWithCells="1" sizeWithCells="1">
                  <from>
                    <xdr:col>12</xdr:col>
                    <xdr:colOff>0</xdr:colOff>
                    <xdr:row>2</xdr:row>
                    <xdr:rowOff>0</xdr:rowOff>
                  </from>
                  <to>
                    <xdr:col>14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Macro_Contents">
                <anchor moveWithCells="1" sizeWithCells="1">
                  <from>
                    <xdr:col>8</xdr:col>
                    <xdr:colOff>0</xdr:colOff>
                    <xdr:row>2</xdr:row>
                    <xdr:rowOff>0</xdr:rowOff>
                  </from>
                  <to>
                    <xdr:col>11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ข้อมูล!$J$3:$J$40</xm:f>
          </x14:formula1>
          <xm:sqref>C21:D21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N38"/>
  <sheetViews>
    <sheetView view="pageBreakPreview" topLeftCell="A16" zoomScaleNormal="85" zoomScaleSheetLayoutView="100" workbookViewId="0">
      <selection activeCell="S20" sqref="S20"/>
    </sheetView>
  </sheetViews>
  <sheetFormatPr defaultRowHeight="22.5" x14ac:dyDescent="0.45"/>
  <cols>
    <col min="1" max="1" width="13.5" style="56" customWidth="1"/>
    <col min="2" max="3" width="9" style="56"/>
    <col min="4" max="4" width="25.5" style="56" customWidth="1"/>
    <col min="5" max="5" width="9" style="56"/>
    <col min="6" max="13" width="8.5" style="56" customWidth="1"/>
    <col min="14" max="14" width="10" style="56" bestFit="1" customWidth="1"/>
  </cols>
  <sheetData>
    <row r="1" spans="1:14" s="65" customFormat="1" ht="23.25" x14ac:dyDescent="0.2">
      <c r="A1" s="188" t="s">
        <v>219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s="65" customFormat="1" ht="23.25" x14ac:dyDescent="0.2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s="65" customFormat="1" ht="23.25" x14ac:dyDescent="0.2">
      <c r="A3" s="188" t="str">
        <f>CONCATENATE("ชื่อหลักสูตร ",ตารางสรุปประเมินความพึงพอใจ!$V$6)</f>
        <v>ชื่อหลักสูตร ขอต่อใบอนุญาตตัวแทนประกันวินาศภัยครั้งที่ 4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</row>
    <row r="4" spans="1:14" s="65" customFormat="1" ht="23.25" x14ac:dyDescent="0.2">
      <c r="A4" s="148" t="s">
        <v>202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</row>
    <row r="5" spans="1:14" ht="23.25" x14ac:dyDescent="0.45">
      <c r="A5" s="106" t="s">
        <v>80</v>
      </c>
      <c r="B5" s="189" t="s">
        <v>261</v>
      </c>
      <c r="C5" s="189"/>
      <c r="D5" s="189"/>
      <c r="E5" s="189"/>
      <c r="F5" s="189"/>
      <c r="G5" s="192" t="s">
        <v>204</v>
      </c>
      <c r="H5" s="192"/>
      <c r="I5" s="194">
        <f ca="1">IF(ISBLANK(ตารางสรุปประเมินความพึงพอใจ!C11),"",OFFSET(ตารางสรุปประเมินความพึงพอใจ!$AR$5,0,0))</f>
        <v>42539</v>
      </c>
      <c r="J5" s="194"/>
      <c r="K5" s="109"/>
      <c r="L5" s="110"/>
      <c r="M5" s="110"/>
      <c r="N5" s="109"/>
    </row>
    <row r="6" spans="1:14" ht="23.25" x14ac:dyDescent="0.45">
      <c r="A6" s="107" t="s">
        <v>39</v>
      </c>
      <c r="B6" s="190">
        <f>IF(ISBLANK(B5),"ไม่พบชื่อวิทยากร",INDEX(ข้อมูล!B3:J41,MATCH(B5,ข้อมูล!J3:J41,0),6))</f>
        <v>0</v>
      </c>
      <c r="C6" s="191"/>
      <c r="D6" s="191"/>
      <c r="E6" s="191"/>
      <c r="F6" s="191"/>
      <c r="G6" s="193" t="s">
        <v>198</v>
      </c>
      <c r="H6" s="193"/>
      <c r="I6" s="108" t="str">
        <f ca="1">IF(ISBLANK(ตารางสรุปประเมินความพึงพอใจ!C11),"",OFFSET(ตารางสรุปประเมินความพึงพอใจ!$BI$6,0,0))</f>
        <v>ชั้น 4 ห้อง 4 สำนักงานใหญ่</v>
      </c>
      <c r="J6" s="109"/>
      <c r="K6" s="109"/>
      <c r="L6" s="110"/>
      <c r="M6" s="110"/>
      <c r="N6" s="109"/>
    </row>
    <row r="7" spans="1:14" ht="23.25" x14ac:dyDescent="0.45">
      <c r="A7" s="107" t="s">
        <v>128</v>
      </c>
      <c r="B7" s="186" t="str">
        <f>IF(ISBLANK(B5),0,INDEX(ตารางสรุปประเมินความพึงพอใจ!$A$11:$CJ$20,MATCH($B$5,ตารางสรุปประเมินความพึงพอใจ!$C$11:$C$20,0),4))</f>
        <v>จรรยาบรรณตัวแทน</v>
      </c>
      <c r="C7" s="186"/>
      <c r="D7" s="186"/>
      <c r="E7" s="107"/>
      <c r="F7" s="107"/>
      <c r="G7" s="187" t="s">
        <v>205</v>
      </c>
      <c r="H7" s="187"/>
      <c r="I7" s="149">
        <f>AVERAGE(K18:K25)</f>
        <v>40</v>
      </c>
      <c r="J7" s="111" t="s">
        <v>81</v>
      </c>
      <c r="K7" s="109"/>
      <c r="L7" s="110"/>
      <c r="M7" s="110"/>
      <c r="N7" s="109"/>
    </row>
    <row r="8" spans="1:14" ht="23.25" x14ac:dyDescent="0.45">
      <c r="A8" s="83"/>
      <c r="B8" s="112"/>
      <c r="C8" s="112"/>
      <c r="D8" s="112"/>
      <c r="E8" s="83"/>
      <c r="F8" s="83"/>
      <c r="G8" s="110"/>
      <c r="H8" s="109"/>
      <c r="I8" s="109"/>
      <c r="J8" s="109"/>
      <c r="K8" s="109"/>
      <c r="L8" s="110"/>
      <c r="M8" s="110"/>
      <c r="N8" s="109"/>
    </row>
    <row r="9" spans="1:14" ht="23.25" x14ac:dyDescent="0.45">
      <c r="A9" s="113"/>
      <c r="B9" s="113"/>
      <c r="C9" s="113"/>
      <c r="D9" s="113"/>
      <c r="E9" s="111"/>
      <c r="F9" s="111"/>
      <c r="G9" s="110"/>
      <c r="H9" s="109"/>
      <c r="I9" s="109"/>
      <c r="J9" s="109"/>
      <c r="K9" s="109"/>
      <c r="L9" s="110"/>
      <c r="M9" s="110"/>
      <c r="N9" s="109"/>
    </row>
    <row r="10" spans="1:14" x14ac:dyDescent="0.45">
      <c r="A10" s="198" t="s">
        <v>82</v>
      </c>
      <c r="B10" s="198"/>
      <c r="C10" s="150" t="s">
        <v>27</v>
      </c>
      <c r="D10" s="150"/>
      <c r="F10" s="109" t="s">
        <v>28</v>
      </c>
      <c r="G10" s="110"/>
      <c r="H10" s="109"/>
      <c r="I10" s="109"/>
      <c r="J10" s="109"/>
      <c r="K10" s="109"/>
      <c r="L10" s="110"/>
      <c r="M10" s="110"/>
      <c r="N10" s="109"/>
    </row>
    <row r="11" spans="1:14" x14ac:dyDescent="0.45">
      <c r="A11" s="109"/>
      <c r="B11" s="83"/>
      <c r="C11" s="150" t="s">
        <v>29</v>
      </c>
      <c r="D11" s="150"/>
      <c r="F11" s="109" t="s">
        <v>33</v>
      </c>
      <c r="G11" s="110"/>
      <c r="H11" s="109"/>
      <c r="I11" s="109"/>
      <c r="J11" s="109"/>
      <c r="K11" s="109"/>
      <c r="L11" s="110"/>
      <c r="M11" s="110"/>
      <c r="N11" s="109"/>
    </row>
    <row r="12" spans="1:14" x14ac:dyDescent="0.45">
      <c r="A12" s="109"/>
      <c r="B12" s="83"/>
      <c r="C12" s="150" t="s">
        <v>30</v>
      </c>
      <c r="D12" s="150"/>
      <c r="F12" s="109" t="s">
        <v>34</v>
      </c>
      <c r="G12" s="110"/>
      <c r="H12" s="109"/>
      <c r="I12" s="109"/>
      <c r="J12" s="109"/>
      <c r="K12" s="109"/>
      <c r="L12" s="110"/>
      <c r="M12" s="110"/>
      <c r="N12" s="109"/>
    </row>
    <row r="13" spans="1:14" x14ac:dyDescent="0.45">
      <c r="A13" s="109"/>
      <c r="B13" s="83"/>
      <c r="C13" s="150" t="s">
        <v>31</v>
      </c>
      <c r="D13" s="150"/>
      <c r="F13" s="109" t="s">
        <v>35</v>
      </c>
      <c r="G13" s="110"/>
      <c r="H13" s="109"/>
      <c r="I13" s="109"/>
      <c r="J13" s="109"/>
      <c r="K13" s="109"/>
      <c r="L13" s="110"/>
      <c r="M13" s="110"/>
      <c r="N13" s="109"/>
    </row>
    <row r="14" spans="1:14" x14ac:dyDescent="0.45">
      <c r="A14" s="109"/>
      <c r="B14" s="83"/>
      <c r="C14" s="150" t="s">
        <v>32</v>
      </c>
      <c r="D14" s="150"/>
      <c r="F14" s="109" t="s">
        <v>36</v>
      </c>
      <c r="G14" s="110"/>
      <c r="H14" s="109"/>
      <c r="I14" s="109"/>
      <c r="J14" s="109"/>
      <c r="K14" s="109"/>
      <c r="L14" s="110"/>
      <c r="M14" s="110"/>
      <c r="N14" s="109"/>
    </row>
    <row r="15" spans="1:14" ht="23.25" x14ac:dyDescent="0.45">
      <c r="A15" s="109"/>
      <c r="B15" s="109"/>
      <c r="C15" s="109"/>
      <c r="D15" s="109"/>
      <c r="E15" s="109"/>
      <c r="F15" s="109"/>
      <c r="G15" s="114"/>
      <c r="H15" s="113"/>
      <c r="I15" s="113"/>
      <c r="J15" s="113"/>
      <c r="K15" s="113"/>
      <c r="L15" s="115"/>
      <c r="M15" s="114"/>
      <c r="N15" s="113"/>
    </row>
    <row r="16" spans="1:14" ht="21" customHeight="1" x14ac:dyDescent="0.5">
      <c r="A16" s="199" t="s">
        <v>18</v>
      </c>
      <c r="B16" s="200"/>
      <c r="C16" s="200"/>
      <c r="D16" s="200"/>
      <c r="E16" s="201"/>
      <c r="F16" s="207" t="s">
        <v>0</v>
      </c>
      <c r="G16" s="208"/>
      <c r="H16" s="208"/>
      <c r="I16" s="208"/>
      <c r="J16" s="209"/>
      <c r="K16" s="210" t="s">
        <v>24</v>
      </c>
      <c r="L16" s="212" t="s">
        <v>25</v>
      </c>
      <c r="M16" s="212" t="s">
        <v>26</v>
      </c>
      <c r="N16" s="205" t="s">
        <v>79</v>
      </c>
    </row>
    <row r="17" spans="1:14" ht="46.5" x14ac:dyDescent="0.2">
      <c r="A17" s="202"/>
      <c r="B17" s="203"/>
      <c r="C17" s="203"/>
      <c r="D17" s="203"/>
      <c r="E17" s="204"/>
      <c r="F17" s="70" t="s">
        <v>19</v>
      </c>
      <c r="G17" s="71" t="s">
        <v>20</v>
      </c>
      <c r="H17" s="72" t="s">
        <v>21</v>
      </c>
      <c r="I17" s="72" t="s">
        <v>22</v>
      </c>
      <c r="J17" s="72" t="s">
        <v>23</v>
      </c>
      <c r="K17" s="211"/>
      <c r="L17" s="213"/>
      <c r="M17" s="213"/>
      <c r="N17" s="206"/>
    </row>
    <row r="18" spans="1:14" ht="23.25" x14ac:dyDescent="0.2">
      <c r="A18" s="195" t="s">
        <v>1</v>
      </c>
      <c r="B18" s="196"/>
      <c r="C18" s="196"/>
      <c r="D18" s="196"/>
      <c r="E18" s="197"/>
      <c r="F18" s="68">
        <f t="array" ref="F18">IF(ISBLANK(B6),0,INDEX(ตารางสรุปประเมินความพึงพอใจ!$A$11:$CJ$20,MATCH($B$5,ตารางสรุปประเมินความพึงพอใจ!$C$11:$C$20,0),6))</f>
        <v>20</v>
      </c>
      <c r="G18" s="68">
        <f t="array" ref="G18">IF(ISBLANK(B6),0,INDEX(ตารางสรุปประเมินความพึงพอใจ!$A$11:$CJ$20,MATCH($B$5,ตารางสรุปประเมินความพึงพอใจ!$C$11:$C$20,0),7))</f>
        <v>20</v>
      </c>
      <c r="H18" s="68">
        <f t="array" ref="H18">IF(ISBLANK(B6),0,INDEX(ตารางสรุปประเมินความพึงพอใจ!$A$11:$CJ$20,MATCH($B$5,ตารางสรุปประเมินความพึงพอใจ!$C$11:$C$20,0),8))</f>
        <v>0</v>
      </c>
      <c r="I18" s="68">
        <f>IF(ISBLANK(B6),0,INDEX(ตารางสรุปประเมินความพึงพอใจ!$A$11:$CJ$20,MATCH($B$5,ตารางสรุปประเมินความพึงพอใจ!$C$11:$C$20,0),9))</f>
        <v>0</v>
      </c>
      <c r="J18" s="68">
        <f>IF(ISBLANK(B6),0,INDEX(ตารางสรุปประเมินความพึงพอใจ!$A$11:$CJ$20,MATCH($B$5,ตารางสรุปประเมินความพึงพอใจ!$C$11:$C$20,0),10))</f>
        <v>0</v>
      </c>
      <c r="K18" s="73">
        <f>SUM(F18:J18)</f>
        <v>40</v>
      </c>
      <c r="L18" s="74">
        <f>IFERROR(((5*F18)+(4*G18)+(3*H18)+(2*I18)+(1*J18))/K18,0)</f>
        <v>4.5</v>
      </c>
      <c r="M18" s="74">
        <f>IFERROR(SQRT(((25*F18)+(16*G18)+(9*H18)+(4*I18)+(1*J18))/K18-(L18^2)),0)</f>
        <v>0.5</v>
      </c>
      <c r="N18" s="75" t="str">
        <f>IF(L18=0,"",IF(L18&gt;=4.5,"ดีมาก",IF(L18&gt;=3.5,"ดี",IF(L18&gt;=2.5,"ปานกลาง",IF(L18&gt;=1.5,"พอใช้",IF(L18&gt;=0,"ควรปรับปรุง"))))))</f>
        <v>ดีมาก</v>
      </c>
    </row>
    <row r="19" spans="1:14" ht="23.25" x14ac:dyDescent="0.2">
      <c r="A19" s="195" t="s">
        <v>2</v>
      </c>
      <c r="B19" s="196"/>
      <c r="C19" s="196"/>
      <c r="D19" s="196"/>
      <c r="E19" s="197"/>
      <c r="F19" s="69">
        <f>IF(ISBLANK(B6),0,INDEX(ตารางสรุปประเมินความพึงพอใจ!$A$11:$CJ$20,MATCH($B$5,ตารางสรุปประเมินความพึงพอใจ!$C$11:$C$20,0),14))</f>
        <v>15</v>
      </c>
      <c r="G19" s="69">
        <f>IF(ISBLANK(B6),0,INDEX(ตารางสรุปประเมินความพึงพอใจ!$A$11:$CJ$20,MATCH($B$5,ตารางสรุปประเมินความพึงพอใจ!$C$11:$C$20,0),15))</f>
        <v>16</v>
      </c>
      <c r="H19" s="69">
        <f>IF(ISBLANK(B6),0,INDEX(ตารางสรุปประเมินความพึงพอใจ!$A$11:$CJ$20,MATCH($B$5,ตารางสรุปประเมินความพึงพอใจ!$C$11:$C$20,0),16))</f>
        <v>9</v>
      </c>
      <c r="I19" s="69">
        <f>IF(ISBLANK(B6),0,INDEX(ตารางสรุปประเมินความพึงพอใจ!$A$11:$CJ$20,MATCH($B$5,ตารางสรุปประเมินความพึงพอใจ!$C$11:$C$20,0),17))</f>
        <v>0</v>
      </c>
      <c r="J19" s="69">
        <f>IF(ISBLANK(B6),0,INDEX(ตารางสรุปประเมินความพึงพอใจ!$A$11:$CJ$20,MATCH($B$5,ตารางสรุปประเมินความพึงพอใจ!$C$11:$C$20,0),18))</f>
        <v>0</v>
      </c>
      <c r="K19" s="73">
        <f t="shared" ref="K19:K26" si="0">SUM(F19:J19)</f>
        <v>40</v>
      </c>
      <c r="L19" s="74">
        <f t="shared" ref="L19:L25" si="1">IFERROR(((5*F19)+(4*G19)+(3*H19)+(2*I19)+(1*J19))/K19,0)</f>
        <v>4.1500000000000004</v>
      </c>
      <c r="M19" s="74">
        <f t="shared" ref="M19:M25" si="2">IFERROR(SQRT(((25*F19)+(16*G19)+(9*H19)+(4*I19)+(1*J19))/K19-(L19^2)),0)</f>
        <v>0.75993420767853126</v>
      </c>
      <c r="N19" s="75" t="str">
        <f t="shared" ref="N19:N26" si="3">IF(L19=0,"",IF(L19&gt;=4.5,"ดีมาก",IF(L19&gt;=3.5,"ดี",IF(L19&gt;=2.5,"ปานกลาง",IF(L19&gt;=1.5,"พอใช้",IF(L19&gt;=0,"ควรปรับปรุง"))))))</f>
        <v>ดี</v>
      </c>
    </row>
    <row r="20" spans="1:14" ht="23.25" x14ac:dyDescent="0.2">
      <c r="A20" s="195" t="s">
        <v>3</v>
      </c>
      <c r="B20" s="196"/>
      <c r="C20" s="196"/>
      <c r="D20" s="196"/>
      <c r="E20" s="197"/>
      <c r="F20" s="69">
        <f>IF(ISBLANK(B6),0,INDEX(ตารางสรุปประเมินความพึงพอใจ!$A$11:$CJ$20,MATCH($B$5,ตารางสรุปประเมินความพึงพอใจ!$C$11:$C$20,0),22))</f>
        <v>20</v>
      </c>
      <c r="G20" s="69">
        <f>IF(ISBLANK(B6),0,INDEX(ตารางสรุปประเมินความพึงพอใจ!$A$11:$CJ$20,MATCH($B$5,ตารางสรุปประเมินความพึงพอใจ!$C$11:$C$20,0),23))</f>
        <v>20</v>
      </c>
      <c r="H20" s="69">
        <f>IF(ISBLANK(B6),0,INDEX(ตารางสรุปประเมินความพึงพอใจ!$A$11:$CJ$20,MATCH($B$5,ตารางสรุปประเมินความพึงพอใจ!$C$11:$C$20,0),24))</f>
        <v>0</v>
      </c>
      <c r="I20" s="69">
        <f>IF(ISBLANK(B6),0,INDEX(ตารางสรุปประเมินความพึงพอใจ!$A$11:$CJ$20,MATCH($B$5,ตารางสรุปประเมินความพึงพอใจ!$C$11:$C$20,0),25))</f>
        <v>0</v>
      </c>
      <c r="J20" s="69">
        <f>IF(ISBLANK(B6),0,INDEX(ตารางสรุปประเมินความพึงพอใจ!$A$11:$CJ$20,MATCH($B$5,ตารางสรุปประเมินความพึงพอใจ!$C$11:$C$20,0),26))</f>
        <v>0</v>
      </c>
      <c r="K20" s="73">
        <f t="shared" si="0"/>
        <v>40</v>
      </c>
      <c r="L20" s="74">
        <f t="shared" si="1"/>
        <v>4.5</v>
      </c>
      <c r="M20" s="74">
        <f t="shared" si="2"/>
        <v>0.5</v>
      </c>
      <c r="N20" s="75" t="str">
        <f t="shared" si="3"/>
        <v>ดีมาก</v>
      </c>
    </row>
    <row r="21" spans="1:14" ht="23.25" x14ac:dyDescent="0.2">
      <c r="A21" s="195" t="s">
        <v>4</v>
      </c>
      <c r="B21" s="196"/>
      <c r="C21" s="196"/>
      <c r="D21" s="196"/>
      <c r="E21" s="197"/>
      <c r="F21" s="69">
        <f>IF(ISBLANK(B6),0,INDEX(ตารางสรุปประเมินความพึงพอใจ!$A$11:$CJ$20,MATCH($B$5,ตารางสรุปประเมินความพึงพอใจ!$C$11:$C$20,0),30))</f>
        <v>15</v>
      </c>
      <c r="G21" s="69">
        <f>IF(ISBLANK(B6),0,INDEX(ตารางสรุปประเมินความพึงพอใจ!$A$11:$CJ$20,MATCH($B$5,ตารางสรุปประเมินความพึงพอใจ!$C$11:$C$20,0),31))</f>
        <v>16</v>
      </c>
      <c r="H21" s="69">
        <f>IF(ISBLANK(B6),0,INDEX(ตารางสรุปประเมินความพึงพอใจ!$A$11:$CJ$20,MATCH($B$5,ตารางสรุปประเมินความพึงพอใจ!$C$11:$C$20,0),32))</f>
        <v>9</v>
      </c>
      <c r="I21" s="69">
        <f>IF(ISBLANK(B6),0,INDEX(ตารางสรุปประเมินความพึงพอใจ!$A$11:$CJ$20,MATCH($B$5,ตารางสรุปประเมินความพึงพอใจ!$C$11:$C$20,0),33))</f>
        <v>0</v>
      </c>
      <c r="J21" s="69">
        <f>IF(ISBLANK(B6),0,INDEX(ตารางสรุปประเมินความพึงพอใจ!$A$11:$CJ$20,MATCH($B$5,ตารางสรุปประเมินความพึงพอใจ!$C$11:$C$20,0),34))</f>
        <v>0</v>
      </c>
      <c r="K21" s="73">
        <f t="shared" si="0"/>
        <v>40</v>
      </c>
      <c r="L21" s="74">
        <f t="shared" si="1"/>
        <v>4.1500000000000004</v>
      </c>
      <c r="M21" s="74">
        <f t="shared" si="2"/>
        <v>0.75993420767853126</v>
      </c>
      <c r="N21" s="75" t="str">
        <f t="shared" si="3"/>
        <v>ดี</v>
      </c>
    </row>
    <row r="22" spans="1:14" ht="23.25" x14ac:dyDescent="0.2">
      <c r="A22" s="195" t="s">
        <v>5</v>
      </c>
      <c r="B22" s="196"/>
      <c r="C22" s="196"/>
      <c r="D22" s="196"/>
      <c r="E22" s="197"/>
      <c r="F22" s="69">
        <f>IF(ISBLANK(B6),0,INDEX(ตารางสรุปประเมินความพึงพอใจ!$A$11:$CJ$20,MATCH($B$5,ตารางสรุปประเมินความพึงพอใจ!$C$11:$C$20,0),38))</f>
        <v>20</v>
      </c>
      <c r="G22" s="69">
        <f>IF(ISBLANK(B6),0,INDEX(ตารางสรุปประเมินความพึงพอใจ!$A$11:$CJ$20,MATCH($B$5,ตารางสรุปประเมินความพึงพอใจ!$C$11:$C$20,0),39))</f>
        <v>20</v>
      </c>
      <c r="H22" s="69">
        <f>IF(ISBLANK(B6),0,INDEX(ตารางสรุปประเมินความพึงพอใจ!$A$11:$CJ$20,MATCH($B$5,ตารางสรุปประเมินความพึงพอใจ!$C$11:$C$20,0),40))</f>
        <v>0</v>
      </c>
      <c r="I22" s="69">
        <f>IF(ISBLANK(B6),0,INDEX(ตารางสรุปประเมินความพึงพอใจ!$A$11:$CJ$20,MATCH($B$5,ตารางสรุปประเมินความพึงพอใจ!$C$11:$C$20,0),41))</f>
        <v>0</v>
      </c>
      <c r="J22" s="69">
        <f>IF(ISBLANK(B6),0,INDEX(ตารางสรุปประเมินความพึงพอใจ!$A$11:$CJ$20,MATCH($B$5,ตารางสรุปประเมินความพึงพอใจ!$C$11:$C$20,0),42))</f>
        <v>0</v>
      </c>
      <c r="K22" s="73">
        <f t="shared" si="0"/>
        <v>40</v>
      </c>
      <c r="L22" s="74">
        <f t="shared" si="1"/>
        <v>4.5</v>
      </c>
      <c r="M22" s="74">
        <f t="shared" si="2"/>
        <v>0.5</v>
      </c>
      <c r="N22" s="75" t="str">
        <f t="shared" si="3"/>
        <v>ดีมาก</v>
      </c>
    </row>
    <row r="23" spans="1:14" ht="23.25" x14ac:dyDescent="0.2">
      <c r="A23" s="195" t="s">
        <v>6</v>
      </c>
      <c r="B23" s="196"/>
      <c r="C23" s="196"/>
      <c r="D23" s="196"/>
      <c r="E23" s="197"/>
      <c r="F23" s="69">
        <f>IF(ISBLANK(B6),0,INDEX(ตารางสรุปประเมินความพึงพอใจ!$A$11:$CJ$20,MATCH($B$5,ตารางสรุปประเมินความพึงพอใจ!$C$11:$C$20,0),46))</f>
        <v>15</v>
      </c>
      <c r="G23" s="69">
        <f>IF(ISBLANK(B6),0,INDEX(ตารางสรุปประเมินความพึงพอใจ!$A$11:$CJ$20,MATCH($B$5,ตารางสรุปประเมินความพึงพอใจ!$C$11:$C$20,0),47))</f>
        <v>16</v>
      </c>
      <c r="H23" s="69">
        <f>IF(ISBLANK(B6),0,INDEX(ตารางสรุปประเมินความพึงพอใจ!$A$11:$CJ$20,MATCH($B$5,ตารางสรุปประเมินความพึงพอใจ!$C$11:$C$20,0),48))</f>
        <v>9</v>
      </c>
      <c r="I23" s="69">
        <f>IF(ISBLANK(B6),0,INDEX(ตารางสรุปประเมินความพึงพอใจ!$A$11:$CJ$20,MATCH($B$5,ตารางสรุปประเมินความพึงพอใจ!$C$11:$C$20,0),49))</f>
        <v>0</v>
      </c>
      <c r="J23" s="69">
        <f>IF(ISBLANK(B6),0,INDEX(ตารางสรุปประเมินความพึงพอใจ!$A$11:$CJ$20,MATCH($B$5,ตารางสรุปประเมินความพึงพอใจ!$C$11:$C$20,0),50))</f>
        <v>0</v>
      </c>
      <c r="K23" s="73">
        <f t="shared" si="0"/>
        <v>40</v>
      </c>
      <c r="L23" s="74">
        <f t="shared" si="1"/>
        <v>4.1500000000000004</v>
      </c>
      <c r="M23" s="74">
        <f t="shared" si="2"/>
        <v>0.75993420767853126</v>
      </c>
      <c r="N23" s="75" t="str">
        <f t="shared" si="3"/>
        <v>ดี</v>
      </c>
    </row>
    <row r="24" spans="1:14" ht="23.25" x14ac:dyDescent="0.2">
      <c r="A24" s="195" t="s">
        <v>7</v>
      </c>
      <c r="B24" s="196"/>
      <c r="C24" s="196"/>
      <c r="D24" s="196"/>
      <c r="E24" s="197"/>
      <c r="F24" s="69">
        <f>IF(ISBLANK(B6),0,INDEX(ตารางสรุปประเมินความพึงพอใจ!$A$11:$CJ$20,MATCH($B$5,ตารางสรุปประเมินความพึงพอใจ!$C$11:$C$20,0),54))</f>
        <v>20</v>
      </c>
      <c r="G24" s="69">
        <f>IF(ISBLANK(B6),0,INDEX(ตารางสรุปประเมินความพึงพอใจ!$A$11:$CJ$20,MATCH($B$5,ตารางสรุปประเมินความพึงพอใจ!$C$11:$C$20,0),55))</f>
        <v>20</v>
      </c>
      <c r="H24" s="69">
        <f>IF(ISBLANK(B6),0,INDEX(ตารางสรุปประเมินความพึงพอใจ!$A$11:$CJ$20,MATCH($B$5,ตารางสรุปประเมินความพึงพอใจ!$C$11:$C$20,0),56))</f>
        <v>0</v>
      </c>
      <c r="I24" s="69">
        <f>IF(ISBLANK(B6),0,INDEX(ตารางสรุปประเมินความพึงพอใจ!$A$11:$CJ$20,MATCH($B$5,ตารางสรุปประเมินความพึงพอใจ!$C$11:$C$20,0),57))</f>
        <v>0</v>
      </c>
      <c r="J24" s="69">
        <f>IF(ISBLANK(B6),0,INDEX(ตารางสรุปประเมินความพึงพอใจ!$A$11:$CJ$20,MATCH($B$5,ตารางสรุปประเมินความพึงพอใจ!$C$11:$C$20,0),58))</f>
        <v>0</v>
      </c>
      <c r="K24" s="73">
        <f t="shared" si="0"/>
        <v>40</v>
      </c>
      <c r="L24" s="74">
        <f t="shared" si="1"/>
        <v>4.5</v>
      </c>
      <c r="M24" s="74">
        <f t="shared" si="2"/>
        <v>0.5</v>
      </c>
      <c r="N24" s="75" t="str">
        <f t="shared" si="3"/>
        <v>ดีมาก</v>
      </c>
    </row>
    <row r="25" spans="1:14" ht="23.25" x14ac:dyDescent="0.2">
      <c r="A25" s="195" t="s">
        <v>8</v>
      </c>
      <c r="B25" s="196"/>
      <c r="C25" s="196"/>
      <c r="D25" s="196"/>
      <c r="E25" s="197"/>
      <c r="F25" s="69">
        <f>IF(ISBLANK(B6),0,INDEX(ตารางสรุปประเมินความพึงพอใจ!$A$11:$CJ$20,MATCH($B$5,ตารางสรุปประเมินความพึงพอใจ!$C$11:$C$20,0),62))</f>
        <v>15</v>
      </c>
      <c r="G25" s="69">
        <f>IF(ISBLANK(B6),0,INDEX(ตารางสรุปประเมินความพึงพอใจ!$A$11:$CJ$20,MATCH($B$5,ตารางสรุปประเมินความพึงพอใจ!$C$11:$C$20,0),63))</f>
        <v>16</v>
      </c>
      <c r="H25" s="69">
        <f>IF(ISBLANK(B6),0,INDEX(ตารางสรุปประเมินความพึงพอใจ!$A$11:$CJ$20,MATCH($B$5,ตารางสรุปประเมินความพึงพอใจ!$C$11:$C$20,0),64))</f>
        <v>9</v>
      </c>
      <c r="I25" s="69">
        <f>IF(ISBLANK(B6),0,INDEX(ตารางสรุปประเมินความพึงพอใจ!$A$11:$CJ$20,MATCH($B$5,ตารางสรุปประเมินความพึงพอใจ!$C$11:$C$20,0),65))</f>
        <v>0</v>
      </c>
      <c r="J25" s="69">
        <f>IF(ISBLANK(B6),0,INDEX(ตารางสรุปประเมินความพึงพอใจ!$A$11:$CJ$20,MATCH($B$5,ตารางสรุปประเมินความพึงพอใจ!$C$11:$C$20,0),66))</f>
        <v>0</v>
      </c>
      <c r="K25" s="73">
        <f t="shared" si="0"/>
        <v>40</v>
      </c>
      <c r="L25" s="74">
        <f t="shared" si="1"/>
        <v>4.1500000000000004</v>
      </c>
      <c r="M25" s="74">
        <f t="shared" si="2"/>
        <v>0.75993420767853126</v>
      </c>
      <c r="N25" s="75" t="str">
        <f t="shared" si="3"/>
        <v>ดี</v>
      </c>
    </row>
    <row r="26" spans="1:14" ht="23.25" x14ac:dyDescent="0.5">
      <c r="A26" s="214" t="s">
        <v>83</v>
      </c>
      <c r="B26" s="214"/>
      <c r="C26" s="214"/>
      <c r="D26" s="214"/>
      <c r="E26" s="214"/>
      <c r="F26" s="105">
        <f>SUM(F18:F25)</f>
        <v>140</v>
      </c>
      <c r="G26" s="105">
        <f>SUM(G18:G25)</f>
        <v>144</v>
      </c>
      <c r="H26" s="105">
        <f>SUM(H18:H25)</f>
        <v>36</v>
      </c>
      <c r="I26" s="105">
        <f>SUM(I18:I25)</f>
        <v>0</v>
      </c>
      <c r="J26" s="105">
        <f>SUM(J18:J25)</f>
        <v>0</v>
      </c>
      <c r="K26" s="73">
        <f t="shared" si="0"/>
        <v>320</v>
      </c>
      <c r="L26" s="74">
        <f>IFERROR(((5*F26)+(4*G26)+(3*H26)+(2*I26)+(1*J26))/K26,0)</f>
        <v>4.3250000000000002</v>
      </c>
      <c r="M26" s="74">
        <f>IFERROR(SQRT(((25*F26)+(16*G26)+(9*H26)+(4*I26)+(1*J26))/K26-(L26^2)),0)</f>
        <v>0.66661458129866713</v>
      </c>
      <c r="N26" s="75" t="str">
        <f t="shared" si="3"/>
        <v>ดี</v>
      </c>
    </row>
    <row r="27" spans="1:14" x14ac:dyDescent="0.45">
      <c r="A27" s="109"/>
      <c r="B27" s="109"/>
      <c r="C27" s="109"/>
      <c r="D27" s="109"/>
      <c r="E27" s="109"/>
      <c r="F27" s="109"/>
      <c r="G27" s="110"/>
      <c r="H27" s="109"/>
      <c r="I27" s="109"/>
      <c r="J27" s="109"/>
      <c r="K27" s="116"/>
      <c r="L27" s="110"/>
      <c r="M27" s="110"/>
      <c r="N27" s="109"/>
    </row>
    <row r="28" spans="1:14" x14ac:dyDescent="0.45">
      <c r="A28" s="198" t="s">
        <v>112</v>
      </c>
      <c r="B28" s="198"/>
      <c r="C28" s="117"/>
      <c r="D28" s="109"/>
      <c r="E28" s="109"/>
      <c r="F28" s="109"/>
      <c r="G28" s="110"/>
      <c r="H28" s="109"/>
      <c r="I28" s="109"/>
      <c r="J28" s="109"/>
      <c r="K28" s="116"/>
      <c r="L28" s="110"/>
      <c r="M28" s="110"/>
      <c r="N28" s="109"/>
    </row>
    <row r="29" spans="1:14" x14ac:dyDescent="0.45">
      <c r="A29" s="109"/>
      <c r="B29" s="117"/>
      <c r="C29" s="118">
        <v>1</v>
      </c>
      <c r="D29" s="95">
        <f>IF(ISBLANK($B$5),0,INDEX(ตารางสรุปประเมินความพึงพอใจ!$A$11:$CJ$20,MATCH($B$5,ตารางสรุปประเมินความพึงพอใจ!$C$11:$C$20,0),79))</f>
        <v>0</v>
      </c>
      <c r="E29" s="119"/>
      <c r="F29" s="119"/>
      <c r="G29" s="120"/>
      <c r="H29" s="119"/>
      <c r="I29" s="119"/>
      <c r="J29" s="119"/>
      <c r="K29" s="121"/>
      <c r="L29" s="120"/>
      <c r="M29" s="120"/>
      <c r="N29" s="119"/>
    </row>
    <row r="30" spans="1:14" x14ac:dyDescent="0.45">
      <c r="A30" s="109"/>
      <c r="B30" s="117"/>
      <c r="C30" s="118">
        <v>2</v>
      </c>
      <c r="D30" s="95">
        <f>IF(ISBLANK($B$5),0,INDEX(ตารางสรุปประเมินความพึงพอใจ!$A$11:$CJ$20,MATCH($B$5,ตารางสรุปประเมินความพึงพอใจ!$C$11:$C$20,0),80))</f>
        <v>0</v>
      </c>
      <c r="E30" s="109"/>
      <c r="F30" s="109"/>
      <c r="G30" s="110"/>
      <c r="H30" s="109"/>
      <c r="I30" s="109"/>
      <c r="J30" s="109"/>
      <c r="K30" s="116"/>
      <c r="L30" s="110"/>
      <c r="M30" s="110"/>
      <c r="N30" s="109"/>
    </row>
    <row r="31" spans="1:14" x14ac:dyDescent="0.45">
      <c r="A31" s="109"/>
      <c r="B31" s="117"/>
      <c r="C31" s="118">
        <v>3</v>
      </c>
      <c r="D31" s="95">
        <f>IF(ISBLANK($B$5),0,INDEX(ตารางสรุปประเมินความพึงพอใจ!$A$11:$CJ$20,MATCH($B$5,ตารางสรุปประเมินความพึงพอใจ!$C$11:$C$20,0),81))</f>
        <v>0</v>
      </c>
      <c r="E31" s="109"/>
      <c r="F31" s="109"/>
      <c r="G31" s="110"/>
      <c r="H31" s="109"/>
      <c r="I31" s="109"/>
      <c r="J31" s="109"/>
      <c r="K31" s="116"/>
      <c r="L31" s="110"/>
      <c r="M31" s="110"/>
      <c r="N31" s="109"/>
    </row>
    <row r="32" spans="1:14" x14ac:dyDescent="0.45">
      <c r="A32" s="109"/>
      <c r="B32" s="117"/>
      <c r="C32" s="118">
        <v>4</v>
      </c>
      <c r="D32" s="95">
        <f>IF(ISBLANK($B$5),0,INDEX(ตารางสรุปประเมินความพึงพอใจ!$A$11:$CJ$20,MATCH($B$5,ตารางสรุปประเมินความพึงพอใจ!$C$11:$C$20,0),82))</f>
        <v>0</v>
      </c>
      <c r="E32" s="109"/>
      <c r="F32" s="109"/>
      <c r="G32" s="110"/>
      <c r="H32" s="109"/>
      <c r="I32" s="109"/>
      <c r="J32" s="109"/>
      <c r="K32" s="116"/>
      <c r="L32" s="110"/>
      <c r="M32" s="110"/>
      <c r="N32" s="109"/>
    </row>
    <row r="33" spans="1:14" x14ac:dyDescent="0.45">
      <c r="A33" s="109"/>
      <c r="B33" s="117"/>
      <c r="C33" s="118">
        <v>5</v>
      </c>
      <c r="D33" s="95">
        <f>IF(ISBLANK($B$5),0,INDEX(ตารางสรุปประเมินความพึงพอใจ!$A$11:$CJ$20,MATCH($B$5,ตารางสรุปประเมินความพึงพอใจ!$C$11:$C$20,0),83))</f>
        <v>0</v>
      </c>
      <c r="E33" s="109"/>
      <c r="F33" s="109"/>
      <c r="G33" s="110"/>
      <c r="H33" s="109"/>
      <c r="I33" s="109"/>
      <c r="J33" s="109"/>
      <c r="K33" s="116"/>
      <c r="L33" s="110"/>
      <c r="M33" s="110"/>
      <c r="N33" s="109"/>
    </row>
    <row r="34" spans="1:14" x14ac:dyDescent="0.45">
      <c r="A34" s="109"/>
      <c r="B34" s="117"/>
      <c r="C34" s="118">
        <v>6</v>
      </c>
      <c r="D34" s="95">
        <f>IF(ISBLANK($B$5),0,INDEX(ตารางสรุปประเมินความพึงพอใจ!$A$11:$CJ$20,MATCH($B$5,ตารางสรุปประเมินความพึงพอใจ!$C$11:$C$20,0),84))</f>
        <v>0</v>
      </c>
      <c r="E34" s="109"/>
      <c r="F34" s="109"/>
      <c r="G34" s="110"/>
      <c r="H34" s="109"/>
      <c r="I34" s="109"/>
      <c r="J34" s="109"/>
      <c r="K34" s="116"/>
      <c r="L34" s="110"/>
      <c r="M34" s="110"/>
      <c r="N34" s="109"/>
    </row>
    <row r="35" spans="1:14" x14ac:dyDescent="0.45">
      <c r="A35" s="109"/>
      <c r="B35" s="117"/>
      <c r="C35" s="118">
        <v>7</v>
      </c>
      <c r="D35" s="95">
        <f>IF(ISBLANK($B$5),0,INDEX(ตารางสรุปประเมินความพึงพอใจ!$A$11:$CJ$20,MATCH($B$5,ตารางสรุปประเมินความพึงพอใจ!$C$11:$C$20,0),85))</f>
        <v>0</v>
      </c>
      <c r="E35" s="109"/>
      <c r="F35" s="109"/>
      <c r="G35" s="110"/>
      <c r="H35" s="109"/>
      <c r="I35" s="109"/>
      <c r="J35" s="109"/>
      <c r="K35" s="116"/>
      <c r="L35" s="110"/>
      <c r="M35" s="110"/>
      <c r="N35" s="109"/>
    </row>
    <row r="36" spans="1:14" x14ac:dyDescent="0.45">
      <c r="A36" s="109"/>
      <c r="B36" s="117"/>
      <c r="C36" s="118">
        <v>8</v>
      </c>
      <c r="D36" s="95">
        <f>IF(ISBLANK($B$5),0,INDEX(ตารางสรุปประเมินความพึงพอใจ!$A$11:$CJ$20,MATCH($B$5,ตารางสรุปประเมินความพึงพอใจ!$C$11:$C$20,0),86))</f>
        <v>0</v>
      </c>
      <c r="E36" s="109"/>
      <c r="F36" s="109"/>
      <c r="G36" s="110"/>
      <c r="H36" s="109"/>
      <c r="I36" s="109"/>
      <c r="J36" s="109"/>
      <c r="K36" s="116"/>
      <c r="L36" s="110"/>
      <c r="M36" s="110"/>
      <c r="N36" s="109"/>
    </row>
    <row r="37" spans="1:14" x14ac:dyDescent="0.45">
      <c r="A37" s="109"/>
      <c r="B37" s="117"/>
      <c r="C37" s="118">
        <v>9</v>
      </c>
      <c r="D37" s="95">
        <f>IF(ISBLANK($B$5),0,INDEX(ตารางสรุปประเมินความพึงพอใจ!$A$11:$CJ$20,MATCH($B$5,ตารางสรุปประเมินความพึงพอใจ!$C$11:$C$20,0),87))</f>
        <v>0</v>
      </c>
      <c r="E37" s="109"/>
      <c r="F37" s="109"/>
      <c r="G37" s="110"/>
      <c r="H37" s="109"/>
      <c r="I37" s="109"/>
      <c r="J37" s="109"/>
      <c r="K37" s="116"/>
      <c r="L37" s="110"/>
      <c r="M37" s="110"/>
      <c r="N37" s="109"/>
    </row>
    <row r="38" spans="1:14" x14ac:dyDescent="0.45">
      <c r="A38" s="109"/>
      <c r="B38" s="117"/>
      <c r="C38" s="118">
        <v>10</v>
      </c>
      <c r="D38" s="95">
        <f>IF(ISBLANK($B$5),0,INDEX(ตารางสรุปประเมินความพึงพอใจ!$A$11:$CJ$20,MATCH($B$5,ตารางสรุปประเมินความพึงพอใจ!$C$11:$C$20,0),88))</f>
        <v>0</v>
      </c>
      <c r="E38" s="109"/>
      <c r="F38" s="109"/>
      <c r="G38" s="110"/>
      <c r="H38" s="109"/>
      <c r="I38" s="109"/>
      <c r="J38" s="109"/>
      <c r="K38" s="116"/>
      <c r="L38" s="110"/>
      <c r="M38" s="110"/>
      <c r="N38" s="109"/>
    </row>
  </sheetData>
  <mergeCells count="27">
    <mergeCell ref="A23:E23"/>
    <mergeCell ref="A24:E24"/>
    <mergeCell ref="A25:E25"/>
    <mergeCell ref="A26:E26"/>
    <mergeCell ref="A28:B28"/>
    <mergeCell ref="N16:N17"/>
    <mergeCell ref="A18:E18"/>
    <mergeCell ref="A19:E19"/>
    <mergeCell ref="F16:J16"/>
    <mergeCell ref="K16:K17"/>
    <mergeCell ref="L16:L17"/>
    <mergeCell ref="M16:M17"/>
    <mergeCell ref="A20:E20"/>
    <mergeCell ref="A21:E21"/>
    <mergeCell ref="A22:E22"/>
    <mergeCell ref="A10:B10"/>
    <mergeCell ref="A16:E17"/>
    <mergeCell ref="B7:D7"/>
    <mergeCell ref="G7:H7"/>
    <mergeCell ref="A1:N1"/>
    <mergeCell ref="A2:N2"/>
    <mergeCell ref="B5:F5"/>
    <mergeCell ref="B6:F6"/>
    <mergeCell ref="G5:H5"/>
    <mergeCell ref="G6:H6"/>
    <mergeCell ref="I5:J5"/>
    <mergeCell ref="A3:N3"/>
  </mergeCells>
  <dataValidations count="1">
    <dataValidation allowBlank="1" sqref="I7:J7 E9 F9"/>
  </dataValidations>
  <pageMargins left="0.7" right="0.7" top="0.75" bottom="0.75" header="0.3" footer="0.3"/>
  <pageSetup paperSize="9" scale="54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locked="0" defaultSize="0" print="0" autoFill="0" autoPict="0" macro="[0]!Button1_Click">
                <anchor moveWithCells="1" sizeWithCells="1">
                  <from>
                    <xdr:col>12</xdr:col>
                    <xdr:colOff>0</xdr:colOff>
                    <xdr:row>13</xdr:row>
                    <xdr:rowOff>285750</xdr:rowOff>
                  </from>
                  <to>
                    <xdr:col>14</xdr:col>
                    <xdr:colOff>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utton2_Click">
                <anchor moveWithCells="1" sizeWithCells="1">
                  <from>
                    <xdr:col>14</xdr:col>
                    <xdr:colOff>0</xdr:colOff>
                    <xdr:row>3</xdr:row>
                    <xdr:rowOff>0</xdr:rowOff>
                  </from>
                  <to>
                    <xdr:col>15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Copy_down">
                <anchor moveWithCells="1" sizeWithCells="1">
                  <from>
                    <xdr:col>15</xdr:col>
                    <xdr:colOff>685800</xdr:colOff>
                    <xdr:row>6</xdr:row>
                    <xdr:rowOff>0</xdr:rowOff>
                  </from>
                  <to>
                    <xdr:col>18</xdr:col>
                    <xdr:colOff>466725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ตารางสรุปประเมินความพึงพอใจ!$C$11:$C$20</xm:f>
          </x14:formula1>
          <xm:sqref>B5:F5</xm:sqref>
        </x14:dataValidation>
        <x14:dataValidation type="list" allowBlank="1">
          <x14:formula1>
            <xm:f>ข้อมูล!#REF!</xm:f>
          </x14:formula1>
          <xm:sqref>H15:K15 M15:N15 B8:D9</xm:sqref>
        </x14:dataValidation>
        <x14:dataValidation type="list" allowBlank="1">
          <x14:formula1>
            <xm:f>ตารางสรุปประเมินความพึงพอใจ!C11:C20</xm:f>
          </x14:formula1>
          <xm:sqref>B5:F5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sqref="A1:N38"/>
    </sheetView>
  </sheetViews>
  <sheetFormatPr defaultRowHeight="14.25" x14ac:dyDescent="0.2"/>
  <sheetData>
    <row r="1" spans="1:14" ht="23.25" x14ac:dyDescent="0.2">
      <c r="A1" s="188" t="s">
        <v>219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ht="23.25" x14ac:dyDescent="0.2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23.25" x14ac:dyDescent="0.2">
      <c r="A3" s="188" t="s">
        <v>270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</row>
    <row r="4" spans="1:14" ht="23.25" x14ac:dyDescent="0.2">
      <c r="A4" s="148" t="s">
        <v>202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</row>
    <row r="5" spans="1:14" ht="23.25" x14ac:dyDescent="0.45">
      <c r="A5" s="106" t="s">
        <v>80</v>
      </c>
      <c r="B5" s="189" t="s">
        <v>261</v>
      </c>
      <c r="C5" s="189"/>
      <c r="D5" s="189"/>
      <c r="E5" s="189"/>
      <c r="F5" s="189"/>
      <c r="G5" s="192" t="s">
        <v>204</v>
      </c>
      <c r="H5" s="192"/>
      <c r="I5" s="194">
        <v>42539</v>
      </c>
      <c r="J5" s="194"/>
      <c r="K5" s="109"/>
      <c r="L5" s="110"/>
      <c r="M5" s="110"/>
      <c r="N5" s="109"/>
    </row>
    <row r="6" spans="1:14" ht="23.25" x14ac:dyDescent="0.45">
      <c r="A6" s="153" t="s">
        <v>39</v>
      </c>
      <c r="B6" s="190">
        <v>0</v>
      </c>
      <c r="C6" s="191"/>
      <c r="D6" s="191"/>
      <c r="E6" s="191"/>
      <c r="F6" s="191"/>
      <c r="G6" s="193" t="s">
        <v>198</v>
      </c>
      <c r="H6" s="193"/>
      <c r="I6" s="151" t="s">
        <v>269</v>
      </c>
      <c r="J6" s="109"/>
      <c r="K6" s="109"/>
      <c r="L6" s="110"/>
      <c r="M6" s="110"/>
      <c r="N6" s="109"/>
    </row>
    <row r="7" spans="1:14" ht="23.25" x14ac:dyDescent="0.45">
      <c r="A7" s="153" t="s">
        <v>128</v>
      </c>
      <c r="B7" s="186" t="s">
        <v>211</v>
      </c>
      <c r="C7" s="186"/>
      <c r="D7" s="186"/>
      <c r="E7" s="153"/>
      <c r="F7" s="153"/>
      <c r="G7" s="187" t="s">
        <v>205</v>
      </c>
      <c r="H7" s="187"/>
      <c r="I7" s="149">
        <v>40</v>
      </c>
      <c r="J7" s="111" t="s">
        <v>81</v>
      </c>
      <c r="K7" s="109"/>
      <c r="L7" s="110"/>
      <c r="M7" s="110"/>
      <c r="N7" s="109"/>
    </row>
    <row r="8" spans="1:14" ht="23.25" x14ac:dyDescent="0.45">
      <c r="A8" s="83"/>
      <c r="B8" s="112"/>
      <c r="C8" s="112"/>
      <c r="D8" s="112"/>
      <c r="E8" s="83"/>
      <c r="F8" s="83"/>
      <c r="G8" s="110"/>
      <c r="H8" s="109"/>
      <c r="I8" s="109"/>
      <c r="J8" s="109"/>
      <c r="K8" s="109"/>
      <c r="L8" s="110"/>
      <c r="M8" s="110"/>
      <c r="N8" s="109"/>
    </row>
    <row r="9" spans="1:14" ht="23.25" x14ac:dyDescent="0.45">
      <c r="A9" s="152"/>
      <c r="B9" s="152"/>
      <c r="C9" s="152"/>
      <c r="D9" s="152"/>
      <c r="E9" s="111"/>
      <c r="F9" s="111"/>
      <c r="G9" s="110"/>
      <c r="H9" s="109"/>
      <c r="I9" s="109"/>
      <c r="J9" s="109"/>
      <c r="K9" s="109"/>
      <c r="L9" s="110"/>
      <c r="M9" s="110"/>
      <c r="N9" s="109"/>
    </row>
    <row r="10" spans="1:14" ht="22.5" x14ac:dyDescent="0.45">
      <c r="A10" s="198" t="s">
        <v>82</v>
      </c>
      <c r="B10" s="198"/>
      <c r="C10" s="150" t="s">
        <v>27</v>
      </c>
      <c r="D10" s="150"/>
      <c r="E10" s="56"/>
      <c r="F10" s="109" t="s">
        <v>28</v>
      </c>
      <c r="G10" s="110"/>
      <c r="H10" s="109"/>
      <c r="I10" s="109"/>
      <c r="J10" s="109"/>
      <c r="K10" s="109"/>
      <c r="L10" s="110"/>
      <c r="M10" s="110"/>
      <c r="N10" s="109"/>
    </row>
    <row r="11" spans="1:14" ht="22.5" x14ac:dyDescent="0.45">
      <c r="A11" s="109"/>
      <c r="B11" s="83"/>
      <c r="C11" s="150" t="s">
        <v>29</v>
      </c>
      <c r="D11" s="150"/>
      <c r="E11" s="56"/>
      <c r="F11" s="109" t="s">
        <v>33</v>
      </c>
      <c r="G11" s="110"/>
      <c r="H11" s="109"/>
      <c r="I11" s="109"/>
      <c r="J11" s="109"/>
      <c r="K11" s="109"/>
      <c r="L11" s="110"/>
      <c r="M11" s="110"/>
      <c r="N11" s="109"/>
    </row>
    <row r="12" spans="1:14" ht="22.5" x14ac:dyDescent="0.45">
      <c r="A12" s="109"/>
      <c r="B12" s="83"/>
      <c r="C12" s="150" t="s">
        <v>30</v>
      </c>
      <c r="D12" s="150"/>
      <c r="E12" s="56"/>
      <c r="F12" s="109" t="s">
        <v>34</v>
      </c>
      <c r="G12" s="110"/>
      <c r="H12" s="109"/>
      <c r="I12" s="109"/>
      <c r="J12" s="109"/>
      <c r="K12" s="109"/>
      <c r="L12" s="110"/>
      <c r="M12" s="110"/>
      <c r="N12" s="109"/>
    </row>
    <row r="13" spans="1:14" ht="22.5" x14ac:dyDescent="0.45">
      <c r="A13" s="109"/>
      <c r="B13" s="83"/>
      <c r="C13" s="150" t="s">
        <v>31</v>
      </c>
      <c r="D13" s="150"/>
      <c r="E13" s="56"/>
      <c r="F13" s="109" t="s">
        <v>35</v>
      </c>
      <c r="G13" s="110"/>
      <c r="H13" s="109"/>
      <c r="I13" s="109"/>
      <c r="J13" s="109"/>
      <c r="K13" s="109"/>
      <c r="L13" s="110"/>
      <c r="M13" s="110"/>
      <c r="N13" s="109"/>
    </row>
    <row r="14" spans="1:14" ht="22.5" x14ac:dyDescent="0.45">
      <c r="A14" s="109"/>
      <c r="B14" s="83"/>
      <c r="C14" s="150" t="s">
        <v>32</v>
      </c>
      <c r="D14" s="150"/>
      <c r="E14" s="56"/>
      <c r="F14" s="109" t="s">
        <v>36</v>
      </c>
      <c r="G14" s="110"/>
      <c r="H14" s="109"/>
      <c r="I14" s="109"/>
      <c r="J14" s="109"/>
      <c r="K14" s="109"/>
      <c r="L14" s="110"/>
      <c r="M14" s="110"/>
      <c r="N14" s="109"/>
    </row>
    <row r="15" spans="1:14" ht="23.25" x14ac:dyDescent="0.45">
      <c r="A15" s="109"/>
      <c r="B15" s="109"/>
      <c r="C15" s="109"/>
      <c r="D15" s="109"/>
      <c r="E15" s="109"/>
      <c r="F15" s="109"/>
      <c r="G15" s="114"/>
      <c r="H15" s="152"/>
      <c r="I15" s="152"/>
      <c r="J15" s="152"/>
      <c r="K15" s="152"/>
      <c r="L15" s="115"/>
      <c r="M15" s="114"/>
      <c r="N15" s="152"/>
    </row>
    <row r="16" spans="1:14" ht="23.25" x14ac:dyDescent="0.5">
      <c r="A16" s="199" t="s">
        <v>18</v>
      </c>
      <c r="B16" s="200"/>
      <c r="C16" s="200"/>
      <c r="D16" s="200"/>
      <c r="E16" s="201"/>
      <c r="F16" s="207" t="s">
        <v>0</v>
      </c>
      <c r="G16" s="208"/>
      <c r="H16" s="208"/>
      <c r="I16" s="208"/>
      <c r="J16" s="209"/>
      <c r="K16" s="210" t="s">
        <v>24</v>
      </c>
      <c r="L16" s="212" t="s">
        <v>25</v>
      </c>
      <c r="M16" s="212" t="s">
        <v>26</v>
      </c>
      <c r="N16" s="205" t="s">
        <v>79</v>
      </c>
    </row>
    <row r="17" spans="1:14" ht="46.5" x14ac:dyDescent="0.2">
      <c r="A17" s="202"/>
      <c r="B17" s="203"/>
      <c r="C17" s="203"/>
      <c r="D17" s="203"/>
      <c r="E17" s="204"/>
      <c r="F17" s="70" t="s">
        <v>19</v>
      </c>
      <c r="G17" s="71" t="s">
        <v>20</v>
      </c>
      <c r="H17" s="72" t="s">
        <v>21</v>
      </c>
      <c r="I17" s="72" t="s">
        <v>22</v>
      </c>
      <c r="J17" s="72" t="s">
        <v>23</v>
      </c>
      <c r="K17" s="211"/>
      <c r="L17" s="213"/>
      <c r="M17" s="213"/>
      <c r="N17" s="206"/>
    </row>
    <row r="18" spans="1:14" ht="23.25" x14ac:dyDescent="0.2">
      <c r="A18" s="217" t="s">
        <v>1</v>
      </c>
      <c r="B18" s="218"/>
      <c r="C18" s="218"/>
      <c r="D18" s="218"/>
      <c r="E18" s="219"/>
      <c r="F18" s="68">
        <v>20</v>
      </c>
      <c r="G18" s="68">
        <v>20</v>
      </c>
      <c r="H18" s="68">
        <v>0</v>
      </c>
      <c r="I18" s="68">
        <v>0</v>
      </c>
      <c r="J18" s="68">
        <v>0</v>
      </c>
      <c r="K18" s="73">
        <v>40</v>
      </c>
      <c r="L18" s="74">
        <v>4.5</v>
      </c>
      <c r="M18" s="74">
        <v>0.5</v>
      </c>
      <c r="N18" s="75" t="s">
        <v>271</v>
      </c>
    </row>
    <row r="19" spans="1:14" ht="23.25" x14ac:dyDescent="0.2">
      <c r="A19" s="217" t="s">
        <v>2</v>
      </c>
      <c r="B19" s="218"/>
      <c r="C19" s="218"/>
      <c r="D19" s="218"/>
      <c r="E19" s="219"/>
      <c r="F19" s="69">
        <v>15</v>
      </c>
      <c r="G19" s="69">
        <v>16</v>
      </c>
      <c r="H19" s="69">
        <v>9</v>
      </c>
      <c r="I19" s="69">
        <v>0</v>
      </c>
      <c r="J19" s="69">
        <v>0</v>
      </c>
      <c r="K19" s="73">
        <v>40</v>
      </c>
      <c r="L19" s="74">
        <v>4.1500000000000004</v>
      </c>
      <c r="M19" s="74">
        <v>0.75993420767853126</v>
      </c>
      <c r="N19" s="75" t="s">
        <v>208</v>
      </c>
    </row>
    <row r="20" spans="1:14" ht="23.25" x14ac:dyDescent="0.2">
      <c r="A20" s="217" t="s">
        <v>3</v>
      </c>
      <c r="B20" s="218"/>
      <c r="C20" s="218"/>
      <c r="D20" s="218"/>
      <c r="E20" s="219"/>
      <c r="F20" s="69">
        <v>20</v>
      </c>
      <c r="G20" s="69">
        <v>20</v>
      </c>
      <c r="H20" s="69">
        <v>0</v>
      </c>
      <c r="I20" s="69">
        <v>0</v>
      </c>
      <c r="J20" s="69">
        <v>0</v>
      </c>
      <c r="K20" s="73">
        <v>40</v>
      </c>
      <c r="L20" s="74">
        <v>4.5</v>
      </c>
      <c r="M20" s="74">
        <v>0.5</v>
      </c>
      <c r="N20" s="75" t="s">
        <v>271</v>
      </c>
    </row>
    <row r="21" spans="1:14" ht="23.25" x14ac:dyDescent="0.2">
      <c r="A21" s="217" t="s">
        <v>4</v>
      </c>
      <c r="B21" s="218"/>
      <c r="C21" s="218"/>
      <c r="D21" s="218"/>
      <c r="E21" s="219"/>
      <c r="F21" s="69">
        <v>15</v>
      </c>
      <c r="G21" s="69">
        <v>16</v>
      </c>
      <c r="H21" s="69">
        <v>9</v>
      </c>
      <c r="I21" s="69">
        <v>0</v>
      </c>
      <c r="J21" s="69">
        <v>0</v>
      </c>
      <c r="K21" s="73">
        <v>40</v>
      </c>
      <c r="L21" s="74">
        <v>4.1500000000000004</v>
      </c>
      <c r="M21" s="74">
        <v>0.75993420767853126</v>
      </c>
      <c r="N21" s="75" t="s">
        <v>208</v>
      </c>
    </row>
    <row r="22" spans="1:14" ht="23.25" x14ac:dyDescent="0.2">
      <c r="A22" s="217" t="s">
        <v>5</v>
      </c>
      <c r="B22" s="218"/>
      <c r="C22" s="218"/>
      <c r="D22" s="218"/>
      <c r="E22" s="219"/>
      <c r="F22" s="69">
        <v>20</v>
      </c>
      <c r="G22" s="69">
        <v>20</v>
      </c>
      <c r="H22" s="69">
        <v>0</v>
      </c>
      <c r="I22" s="69">
        <v>0</v>
      </c>
      <c r="J22" s="69">
        <v>0</v>
      </c>
      <c r="K22" s="73">
        <v>40</v>
      </c>
      <c r="L22" s="74">
        <v>4.5</v>
      </c>
      <c r="M22" s="74">
        <v>0.5</v>
      </c>
      <c r="N22" s="75" t="s">
        <v>271</v>
      </c>
    </row>
    <row r="23" spans="1:14" ht="23.25" x14ac:dyDescent="0.2">
      <c r="A23" s="217" t="s">
        <v>6</v>
      </c>
      <c r="B23" s="218"/>
      <c r="C23" s="218"/>
      <c r="D23" s="218"/>
      <c r="E23" s="219"/>
      <c r="F23" s="69">
        <v>15</v>
      </c>
      <c r="G23" s="69">
        <v>16</v>
      </c>
      <c r="H23" s="69">
        <v>9</v>
      </c>
      <c r="I23" s="69">
        <v>0</v>
      </c>
      <c r="J23" s="69">
        <v>0</v>
      </c>
      <c r="K23" s="73">
        <v>40</v>
      </c>
      <c r="L23" s="74">
        <v>4.1500000000000004</v>
      </c>
      <c r="M23" s="74">
        <v>0.75993420767853126</v>
      </c>
      <c r="N23" s="75" t="s">
        <v>208</v>
      </c>
    </row>
    <row r="24" spans="1:14" ht="23.25" x14ac:dyDescent="0.2">
      <c r="A24" s="217" t="s">
        <v>7</v>
      </c>
      <c r="B24" s="218"/>
      <c r="C24" s="218"/>
      <c r="D24" s="218"/>
      <c r="E24" s="219"/>
      <c r="F24" s="69">
        <v>20</v>
      </c>
      <c r="G24" s="69">
        <v>20</v>
      </c>
      <c r="H24" s="69">
        <v>0</v>
      </c>
      <c r="I24" s="69">
        <v>0</v>
      </c>
      <c r="J24" s="69">
        <v>0</v>
      </c>
      <c r="K24" s="73">
        <v>40</v>
      </c>
      <c r="L24" s="74">
        <v>4.5</v>
      </c>
      <c r="M24" s="74">
        <v>0.5</v>
      </c>
      <c r="N24" s="75" t="s">
        <v>271</v>
      </c>
    </row>
    <row r="25" spans="1:14" ht="23.25" x14ac:dyDescent="0.2">
      <c r="A25" s="217" t="s">
        <v>8</v>
      </c>
      <c r="B25" s="218"/>
      <c r="C25" s="218"/>
      <c r="D25" s="218"/>
      <c r="E25" s="219"/>
      <c r="F25" s="69">
        <v>15</v>
      </c>
      <c r="G25" s="69">
        <v>16</v>
      </c>
      <c r="H25" s="69">
        <v>9</v>
      </c>
      <c r="I25" s="69">
        <v>0</v>
      </c>
      <c r="J25" s="69">
        <v>0</v>
      </c>
      <c r="K25" s="73">
        <v>40</v>
      </c>
      <c r="L25" s="74">
        <v>4.1500000000000004</v>
      </c>
      <c r="M25" s="74">
        <v>0.75993420767853126</v>
      </c>
      <c r="N25" s="75" t="s">
        <v>208</v>
      </c>
    </row>
    <row r="26" spans="1:14" ht="23.25" x14ac:dyDescent="0.5">
      <c r="A26" s="214" t="s">
        <v>83</v>
      </c>
      <c r="B26" s="214"/>
      <c r="C26" s="214"/>
      <c r="D26" s="214"/>
      <c r="E26" s="214"/>
      <c r="F26" s="105">
        <v>140</v>
      </c>
      <c r="G26" s="105">
        <v>144</v>
      </c>
      <c r="H26" s="105">
        <v>36</v>
      </c>
      <c r="I26" s="105">
        <v>0</v>
      </c>
      <c r="J26" s="105">
        <v>0</v>
      </c>
      <c r="K26" s="73">
        <v>320</v>
      </c>
      <c r="L26" s="74">
        <v>4.3250000000000002</v>
      </c>
      <c r="M26" s="74">
        <v>0.66661458129866713</v>
      </c>
      <c r="N26" s="75" t="s">
        <v>208</v>
      </c>
    </row>
    <row r="27" spans="1:14" ht="22.5" x14ac:dyDescent="0.45">
      <c r="A27" s="109"/>
      <c r="B27" s="109"/>
      <c r="C27" s="109"/>
      <c r="D27" s="109"/>
      <c r="E27" s="109"/>
      <c r="F27" s="109"/>
      <c r="G27" s="110"/>
      <c r="H27" s="109"/>
      <c r="I27" s="109"/>
      <c r="J27" s="109"/>
      <c r="K27" s="116"/>
      <c r="L27" s="110"/>
      <c r="M27" s="110"/>
      <c r="N27" s="109"/>
    </row>
    <row r="28" spans="1:14" ht="22.5" x14ac:dyDescent="0.45">
      <c r="A28" s="198" t="s">
        <v>112</v>
      </c>
      <c r="B28" s="198"/>
      <c r="C28" s="117"/>
      <c r="D28" s="109"/>
      <c r="E28" s="109"/>
      <c r="F28" s="109"/>
      <c r="G28" s="110"/>
      <c r="H28" s="109"/>
      <c r="I28" s="109"/>
      <c r="J28" s="109"/>
      <c r="K28" s="116"/>
      <c r="L28" s="110"/>
      <c r="M28" s="110"/>
      <c r="N28" s="109"/>
    </row>
    <row r="29" spans="1:14" ht="22.5" x14ac:dyDescent="0.45">
      <c r="A29" s="109"/>
      <c r="B29" s="117"/>
      <c r="C29" s="118">
        <v>1</v>
      </c>
      <c r="D29" s="95">
        <v>0</v>
      </c>
      <c r="E29" s="119"/>
      <c r="F29" s="119"/>
      <c r="G29" s="120"/>
      <c r="H29" s="119"/>
      <c r="I29" s="119"/>
      <c r="J29" s="119"/>
      <c r="K29" s="121"/>
      <c r="L29" s="120"/>
      <c r="M29" s="120"/>
      <c r="N29" s="119"/>
    </row>
    <row r="30" spans="1:14" ht="22.5" x14ac:dyDescent="0.45">
      <c r="A30" s="109"/>
      <c r="B30" s="117"/>
      <c r="C30" s="118">
        <v>2</v>
      </c>
      <c r="D30" s="95">
        <v>0</v>
      </c>
      <c r="E30" s="109"/>
      <c r="F30" s="109"/>
      <c r="G30" s="110"/>
      <c r="H30" s="109"/>
      <c r="I30" s="109"/>
      <c r="J30" s="109"/>
      <c r="K30" s="116"/>
      <c r="L30" s="110"/>
      <c r="M30" s="110"/>
      <c r="N30" s="109"/>
    </row>
    <row r="31" spans="1:14" ht="22.5" x14ac:dyDescent="0.45">
      <c r="A31" s="109"/>
      <c r="B31" s="117"/>
      <c r="C31" s="118">
        <v>3</v>
      </c>
      <c r="D31" s="95">
        <v>0</v>
      </c>
      <c r="E31" s="109"/>
      <c r="F31" s="109"/>
      <c r="G31" s="110"/>
      <c r="H31" s="109"/>
      <c r="I31" s="109"/>
      <c r="J31" s="109"/>
      <c r="K31" s="116"/>
      <c r="L31" s="110"/>
      <c r="M31" s="110"/>
      <c r="N31" s="109"/>
    </row>
    <row r="32" spans="1:14" ht="22.5" x14ac:dyDescent="0.45">
      <c r="A32" s="109"/>
      <c r="B32" s="117"/>
      <c r="C32" s="118">
        <v>4</v>
      </c>
      <c r="D32" s="95">
        <v>0</v>
      </c>
      <c r="E32" s="109"/>
      <c r="F32" s="109"/>
      <c r="G32" s="110"/>
      <c r="H32" s="109"/>
      <c r="I32" s="109"/>
      <c r="J32" s="109"/>
      <c r="K32" s="116"/>
      <c r="L32" s="110"/>
      <c r="M32" s="110"/>
      <c r="N32" s="109"/>
    </row>
    <row r="33" spans="1:14" ht="22.5" x14ac:dyDescent="0.45">
      <c r="A33" s="109"/>
      <c r="B33" s="117"/>
      <c r="C33" s="118">
        <v>5</v>
      </c>
      <c r="D33" s="95">
        <v>0</v>
      </c>
      <c r="E33" s="109"/>
      <c r="F33" s="109"/>
      <c r="G33" s="110"/>
      <c r="H33" s="109"/>
      <c r="I33" s="109"/>
      <c r="J33" s="109"/>
      <c r="K33" s="116"/>
      <c r="L33" s="110"/>
      <c r="M33" s="110"/>
      <c r="N33" s="109"/>
    </row>
    <row r="34" spans="1:14" ht="22.5" x14ac:dyDescent="0.45">
      <c r="A34" s="109"/>
      <c r="B34" s="117"/>
      <c r="C34" s="118">
        <v>6</v>
      </c>
      <c r="D34" s="95">
        <v>0</v>
      </c>
      <c r="E34" s="109"/>
      <c r="F34" s="109"/>
      <c r="G34" s="110"/>
      <c r="H34" s="109"/>
      <c r="I34" s="109"/>
      <c r="J34" s="109"/>
      <c r="K34" s="116"/>
      <c r="L34" s="110"/>
      <c r="M34" s="110"/>
      <c r="N34" s="109"/>
    </row>
    <row r="35" spans="1:14" ht="22.5" x14ac:dyDescent="0.45">
      <c r="A35" s="109"/>
      <c r="B35" s="117"/>
      <c r="C35" s="118">
        <v>7</v>
      </c>
      <c r="D35" s="95">
        <v>0</v>
      </c>
      <c r="E35" s="109"/>
      <c r="F35" s="109"/>
      <c r="G35" s="110"/>
      <c r="H35" s="109"/>
      <c r="I35" s="109"/>
      <c r="J35" s="109"/>
      <c r="K35" s="116"/>
      <c r="L35" s="110"/>
      <c r="M35" s="110"/>
      <c r="N35" s="109"/>
    </row>
    <row r="36" spans="1:14" ht="22.5" x14ac:dyDescent="0.45">
      <c r="A36" s="109"/>
      <c r="B36" s="117"/>
      <c r="C36" s="118">
        <v>8</v>
      </c>
      <c r="D36" s="95">
        <v>0</v>
      </c>
      <c r="E36" s="109"/>
      <c r="F36" s="109"/>
      <c r="G36" s="110"/>
      <c r="H36" s="109"/>
      <c r="I36" s="109"/>
      <c r="J36" s="109"/>
      <c r="K36" s="116"/>
      <c r="L36" s="110"/>
      <c r="M36" s="110"/>
      <c r="N36" s="109"/>
    </row>
    <row r="37" spans="1:14" ht="22.5" x14ac:dyDescent="0.45">
      <c r="A37" s="109"/>
      <c r="B37" s="117"/>
      <c r="C37" s="118">
        <v>9</v>
      </c>
      <c r="D37" s="95">
        <v>0</v>
      </c>
      <c r="E37" s="109"/>
      <c r="F37" s="109"/>
      <c r="G37" s="110"/>
      <c r="H37" s="109"/>
      <c r="I37" s="109"/>
      <c r="J37" s="109"/>
      <c r="K37" s="116"/>
      <c r="L37" s="110"/>
      <c r="M37" s="110"/>
      <c r="N37" s="109"/>
    </row>
    <row r="38" spans="1:14" ht="22.5" x14ac:dyDescent="0.45">
      <c r="A38" s="109"/>
      <c r="B38" s="117"/>
      <c r="C38" s="118">
        <v>10</v>
      </c>
      <c r="D38" s="95">
        <v>0</v>
      </c>
      <c r="E38" s="109"/>
      <c r="F38" s="109"/>
      <c r="G38" s="110"/>
      <c r="H38" s="109"/>
      <c r="I38" s="109"/>
      <c r="J38" s="109"/>
      <c r="K38" s="116"/>
      <c r="L38" s="110"/>
      <c r="M38" s="110"/>
      <c r="N38" s="109"/>
    </row>
  </sheetData>
  <mergeCells count="27">
    <mergeCell ref="A26:E26"/>
    <mergeCell ref="A28:B28"/>
    <mergeCell ref="A20:E20"/>
    <mergeCell ref="A21:E21"/>
    <mergeCell ref="A22:E22"/>
    <mergeCell ref="A23:E23"/>
    <mergeCell ref="A24:E24"/>
    <mergeCell ref="A25:E25"/>
    <mergeCell ref="K16:K17"/>
    <mergeCell ref="L16:L17"/>
    <mergeCell ref="M16:M17"/>
    <mergeCell ref="N16:N17"/>
    <mergeCell ref="A18:E18"/>
    <mergeCell ref="A19:E19"/>
    <mergeCell ref="B6:F6"/>
    <mergeCell ref="G6:H6"/>
    <mergeCell ref="B7:D7"/>
    <mergeCell ref="G7:H7"/>
    <mergeCell ref="A10:B10"/>
    <mergeCell ref="A16:E17"/>
    <mergeCell ref="F16:J16"/>
    <mergeCell ref="A1:N1"/>
    <mergeCell ref="A2:N2"/>
    <mergeCell ref="A3:N3"/>
    <mergeCell ref="B5:F5"/>
    <mergeCell ref="G5:H5"/>
    <mergeCell ref="I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topLeftCell="A7" workbookViewId="0">
      <selection activeCell="A39" sqref="A39"/>
    </sheetView>
  </sheetViews>
  <sheetFormatPr defaultRowHeight="14.25" x14ac:dyDescent="0.2"/>
  <sheetData>
    <row r="1" spans="1:14" ht="23.25" x14ac:dyDescent="0.2">
      <c r="A1" s="188" t="s">
        <v>219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ht="23.25" x14ac:dyDescent="0.2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23.25" x14ac:dyDescent="0.2">
      <c r="A3" s="188" t="s">
        <v>270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</row>
    <row r="4" spans="1:14" ht="23.25" x14ac:dyDescent="0.2">
      <c r="A4" s="148" t="s">
        <v>202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</row>
    <row r="5" spans="1:14" ht="23.25" x14ac:dyDescent="0.45">
      <c r="A5" s="106" t="s">
        <v>80</v>
      </c>
      <c r="B5" s="189" t="s">
        <v>264</v>
      </c>
      <c r="C5" s="189"/>
      <c r="D5" s="189"/>
      <c r="E5" s="189"/>
      <c r="F5" s="189"/>
      <c r="G5" s="192" t="s">
        <v>204</v>
      </c>
      <c r="H5" s="192"/>
      <c r="I5" s="194">
        <v>42539</v>
      </c>
      <c r="J5" s="194"/>
      <c r="K5" s="109"/>
      <c r="L5" s="110"/>
      <c r="M5" s="110"/>
      <c r="N5" s="109"/>
    </row>
    <row r="6" spans="1:14" ht="23.25" x14ac:dyDescent="0.45">
      <c r="A6" s="153" t="s">
        <v>39</v>
      </c>
      <c r="B6" s="190">
        <v>0</v>
      </c>
      <c r="C6" s="191"/>
      <c r="D6" s="191"/>
      <c r="E6" s="191"/>
      <c r="F6" s="191"/>
      <c r="G6" s="193" t="s">
        <v>198</v>
      </c>
      <c r="H6" s="193"/>
      <c r="I6" s="151" t="s">
        <v>269</v>
      </c>
      <c r="J6" s="109"/>
      <c r="K6" s="109"/>
      <c r="L6" s="110"/>
      <c r="M6" s="110"/>
      <c r="N6" s="109"/>
    </row>
    <row r="7" spans="1:14" ht="23.25" x14ac:dyDescent="0.45">
      <c r="A7" s="153" t="s">
        <v>128</v>
      </c>
      <c r="B7" s="186" t="s">
        <v>214</v>
      </c>
      <c r="C7" s="186"/>
      <c r="D7" s="186"/>
      <c r="E7" s="153"/>
      <c r="F7" s="153"/>
      <c r="G7" s="187" t="s">
        <v>205</v>
      </c>
      <c r="H7" s="187"/>
      <c r="I7" s="149">
        <v>40</v>
      </c>
      <c r="J7" s="111" t="s">
        <v>81</v>
      </c>
      <c r="K7" s="109"/>
      <c r="L7" s="110"/>
      <c r="M7" s="110"/>
      <c r="N7" s="109"/>
    </row>
    <row r="8" spans="1:14" ht="23.25" x14ac:dyDescent="0.45">
      <c r="A8" s="83"/>
      <c r="B8" s="112"/>
      <c r="C8" s="112"/>
      <c r="D8" s="112"/>
      <c r="E8" s="83"/>
      <c r="F8" s="83"/>
      <c r="G8" s="110"/>
      <c r="H8" s="109"/>
      <c r="I8" s="109"/>
      <c r="J8" s="109"/>
      <c r="K8" s="109"/>
      <c r="L8" s="110"/>
      <c r="M8" s="110"/>
      <c r="N8" s="109"/>
    </row>
    <row r="9" spans="1:14" ht="23.25" x14ac:dyDescent="0.45">
      <c r="A9" s="152"/>
      <c r="B9" s="152"/>
      <c r="C9" s="152"/>
      <c r="D9" s="152"/>
      <c r="E9" s="111"/>
      <c r="F9" s="111"/>
      <c r="G9" s="110"/>
      <c r="H9" s="109"/>
      <c r="I9" s="109"/>
      <c r="J9" s="109"/>
      <c r="K9" s="109"/>
      <c r="L9" s="110"/>
      <c r="M9" s="110"/>
      <c r="N9" s="109"/>
    </row>
    <row r="10" spans="1:14" ht="22.5" x14ac:dyDescent="0.45">
      <c r="A10" s="198" t="s">
        <v>82</v>
      </c>
      <c r="B10" s="198"/>
      <c r="C10" s="150" t="s">
        <v>27</v>
      </c>
      <c r="D10" s="150"/>
      <c r="E10" s="56"/>
      <c r="F10" s="109" t="s">
        <v>28</v>
      </c>
      <c r="G10" s="110"/>
      <c r="H10" s="109"/>
      <c r="I10" s="109"/>
      <c r="J10" s="109"/>
      <c r="K10" s="109"/>
      <c r="L10" s="110"/>
      <c r="M10" s="110"/>
      <c r="N10" s="109"/>
    </row>
    <row r="11" spans="1:14" ht="22.5" x14ac:dyDescent="0.45">
      <c r="A11" s="109"/>
      <c r="B11" s="83"/>
      <c r="C11" s="150" t="s">
        <v>29</v>
      </c>
      <c r="D11" s="150"/>
      <c r="E11" s="56"/>
      <c r="F11" s="109" t="s">
        <v>33</v>
      </c>
      <c r="G11" s="110"/>
      <c r="H11" s="109"/>
      <c r="I11" s="109"/>
      <c r="J11" s="109"/>
      <c r="K11" s="109"/>
      <c r="L11" s="110"/>
      <c r="M11" s="110"/>
      <c r="N11" s="109"/>
    </row>
    <row r="12" spans="1:14" ht="22.5" x14ac:dyDescent="0.45">
      <c r="A12" s="109"/>
      <c r="B12" s="83"/>
      <c r="C12" s="150" t="s">
        <v>30</v>
      </c>
      <c r="D12" s="150"/>
      <c r="E12" s="56"/>
      <c r="F12" s="109" t="s">
        <v>34</v>
      </c>
      <c r="G12" s="110"/>
      <c r="H12" s="109"/>
      <c r="I12" s="109"/>
      <c r="J12" s="109"/>
      <c r="K12" s="109"/>
      <c r="L12" s="110"/>
      <c r="M12" s="110"/>
      <c r="N12" s="109"/>
    </row>
    <row r="13" spans="1:14" ht="22.5" x14ac:dyDescent="0.45">
      <c r="A13" s="109"/>
      <c r="B13" s="83"/>
      <c r="C13" s="150" t="s">
        <v>31</v>
      </c>
      <c r="D13" s="150"/>
      <c r="E13" s="56"/>
      <c r="F13" s="109" t="s">
        <v>35</v>
      </c>
      <c r="G13" s="110"/>
      <c r="H13" s="109"/>
      <c r="I13" s="109"/>
      <c r="J13" s="109"/>
      <c r="K13" s="109"/>
      <c r="L13" s="110"/>
      <c r="M13" s="110"/>
      <c r="N13" s="109"/>
    </row>
    <row r="14" spans="1:14" ht="22.5" x14ac:dyDescent="0.45">
      <c r="A14" s="109"/>
      <c r="B14" s="83"/>
      <c r="C14" s="150" t="s">
        <v>32</v>
      </c>
      <c r="D14" s="150"/>
      <c r="E14" s="56"/>
      <c r="F14" s="109" t="s">
        <v>36</v>
      </c>
      <c r="G14" s="110"/>
      <c r="H14" s="109"/>
      <c r="I14" s="109"/>
      <c r="J14" s="109"/>
      <c r="K14" s="109"/>
      <c r="L14" s="110"/>
      <c r="M14" s="110"/>
      <c r="N14" s="109"/>
    </row>
    <row r="15" spans="1:14" ht="23.25" x14ac:dyDescent="0.45">
      <c r="A15" s="109"/>
      <c r="B15" s="109"/>
      <c r="C15" s="109"/>
      <c r="D15" s="109"/>
      <c r="E15" s="109"/>
      <c r="F15" s="109"/>
      <c r="G15" s="114"/>
      <c r="H15" s="152"/>
      <c r="I15" s="152"/>
      <c r="J15" s="152"/>
      <c r="K15" s="152"/>
      <c r="L15" s="115"/>
      <c r="M15" s="114"/>
      <c r="N15" s="152"/>
    </row>
    <row r="16" spans="1:14" ht="23.25" x14ac:dyDescent="0.5">
      <c r="A16" s="199" t="s">
        <v>18</v>
      </c>
      <c r="B16" s="200"/>
      <c r="C16" s="200"/>
      <c r="D16" s="200"/>
      <c r="E16" s="201"/>
      <c r="F16" s="207" t="s">
        <v>0</v>
      </c>
      <c r="G16" s="208"/>
      <c r="H16" s="208"/>
      <c r="I16" s="208"/>
      <c r="J16" s="209"/>
      <c r="K16" s="210" t="s">
        <v>24</v>
      </c>
      <c r="L16" s="212" t="s">
        <v>25</v>
      </c>
      <c r="M16" s="212" t="s">
        <v>26</v>
      </c>
      <c r="N16" s="205" t="s">
        <v>79</v>
      </c>
    </row>
    <row r="17" spans="1:14" ht="46.5" x14ac:dyDescent="0.2">
      <c r="A17" s="202"/>
      <c r="B17" s="203"/>
      <c r="C17" s="203"/>
      <c r="D17" s="203"/>
      <c r="E17" s="204"/>
      <c r="F17" s="70" t="s">
        <v>19</v>
      </c>
      <c r="G17" s="71" t="s">
        <v>20</v>
      </c>
      <c r="H17" s="72" t="s">
        <v>21</v>
      </c>
      <c r="I17" s="72" t="s">
        <v>22</v>
      </c>
      <c r="J17" s="72" t="s">
        <v>23</v>
      </c>
      <c r="K17" s="211"/>
      <c r="L17" s="213"/>
      <c r="M17" s="213"/>
      <c r="N17" s="206"/>
    </row>
    <row r="18" spans="1:14" ht="23.25" x14ac:dyDescent="0.2">
      <c r="A18" s="217" t="s">
        <v>1</v>
      </c>
      <c r="B18" s="218"/>
      <c r="C18" s="218"/>
      <c r="D18" s="218"/>
      <c r="E18" s="219"/>
      <c r="F18" s="68">
        <v>11</v>
      </c>
      <c r="G18" s="68">
        <v>18</v>
      </c>
      <c r="H18" s="68">
        <v>11</v>
      </c>
      <c r="I18" s="68">
        <v>0</v>
      </c>
      <c r="J18" s="68">
        <v>0</v>
      </c>
      <c r="K18" s="73">
        <v>40</v>
      </c>
      <c r="L18" s="74">
        <v>4</v>
      </c>
      <c r="M18" s="74">
        <v>0.74161984870956676</v>
      </c>
      <c r="N18" s="75" t="s">
        <v>208</v>
      </c>
    </row>
    <row r="19" spans="1:14" ht="23.25" x14ac:dyDescent="0.2">
      <c r="A19" s="217" t="s">
        <v>2</v>
      </c>
      <c r="B19" s="218"/>
      <c r="C19" s="218"/>
      <c r="D19" s="218"/>
      <c r="E19" s="219"/>
      <c r="F19" s="69">
        <v>14</v>
      </c>
      <c r="G19" s="69">
        <v>15</v>
      </c>
      <c r="H19" s="69">
        <v>11</v>
      </c>
      <c r="I19" s="69">
        <v>0</v>
      </c>
      <c r="J19" s="69">
        <v>0</v>
      </c>
      <c r="K19" s="73">
        <v>40</v>
      </c>
      <c r="L19" s="74">
        <v>4.0750000000000002</v>
      </c>
      <c r="M19" s="74">
        <v>0.78700381193486069</v>
      </c>
      <c r="N19" s="75" t="s">
        <v>208</v>
      </c>
    </row>
    <row r="20" spans="1:14" ht="23.25" x14ac:dyDescent="0.2">
      <c r="A20" s="217" t="s">
        <v>3</v>
      </c>
      <c r="B20" s="218"/>
      <c r="C20" s="218"/>
      <c r="D20" s="218"/>
      <c r="E20" s="219"/>
      <c r="F20" s="69">
        <v>11</v>
      </c>
      <c r="G20" s="69">
        <v>18</v>
      </c>
      <c r="H20" s="69">
        <v>11</v>
      </c>
      <c r="I20" s="69">
        <v>0</v>
      </c>
      <c r="J20" s="69">
        <v>0</v>
      </c>
      <c r="K20" s="73">
        <v>40</v>
      </c>
      <c r="L20" s="74">
        <v>4</v>
      </c>
      <c r="M20" s="74">
        <v>0.74161984870956676</v>
      </c>
      <c r="N20" s="75" t="s">
        <v>208</v>
      </c>
    </row>
    <row r="21" spans="1:14" ht="23.25" x14ac:dyDescent="0.2">
      <c r="A21" s="217" t="s">
        <v>4</v>
      </c>
      <c r="B21" s="218"/>
      <c r="C21" s="218"/>
      <c r="D21" s="218"/>
      <c r="E21" s="219"/>
      <c r="F21" s="69">
        <v>14</v>
      </c>
      <c r="G21" s="69">
        <v>15</v>
      </c>
      <c r="H21" s="69">
        <v>11</v>
      </c>
      <c r="I21" s="69">
        <v>0</v>
      </c>
      <c r="J21" s="69">
        <v>0</v>
      </c>
      <c r="K21" s="73">
        <v>40</v>
      </c>
      <c r="L21" s="74">
        <v>4.0750000000000002</v>
      </c>
      <c r="M21" s="74">
        <v>0.78700381193486069</v>
      </c>
      <c r="N21" s="75" t="s">
        <v>208</v>
      </c>
    </row>
    <row r="22" spans="1:14" ht="23.25" x14ac:dyDescent="0.2">
      <c r="A22" s="217" t="s">
        <v>5</v>
      </c>
      <c r="B22" s="218"/>
      <c r="C22" s="218"/>
      <c r="D22" s="218"/>
      <c r="E22" s="219"/>
      <c r="F22" s="69">
        <v>11</v>
      </c>
      <c r="G22" s="69">
        <v>18</v>
      </c>
      <c r="H22" s="69">
        <v>11</v>
      </c>
      <c r="I22" s="69">
        <v>0</v>
      </c>
      <c r="J22" s="69">
        <v>0</v>
      </c>
      <c r="K22" s="73">
        <v>40</v>
      </c>
      <c r="L22" s="74">
        <v>4</v>
      </c>
      <c r="M22" s="74">
        <v>0.74161984870956676</v>
      </c>
      <c r="N22" s="75" t="s">
        <v>208</v>
      </c>
    </row>
    <row r="23" spans="1:14" ht="23.25" x14ac:dyDescent="0.2">
      <c r="A23" s="217" t="s">
        <v>6</v>
      </c>
      <c r="B23" s="218"/>
      <c r="C23" s="218"/>
      <c r="D23" s="218"/>
      <c r="E23" s="219"/>
      <c r="F23" s="69">
        <v>14</v>
      </c>
      <c r="G23" s="69">
        <v>15</v>
      </c>
      <c r="H23" s="69">
        <v>11</v>
      </c>
      <c r="I23" s="69">
        <v>0</v>
      </c>
      <c r="J23" s="69">
        <v>0</v>
      </c>
      <c r="K23" s="73">
        <v>40</v>
      </c>
      <c r="L23" s="74">
        <v>4.0750000000000002</v>
      </c>
      <c r="M23" s="74">
        <v>0.78700381193486069</v>
      </c>
      <c r="N23" s="75" t="s">
        <v>208</v>
      </c>
    </row>
    <row r="24" spans="1:14" ht="23.25" x14ac:dyDescent="0.2">
      <c r="A24" s="217" t="s">
        <v>7</v>
      </c>
      <c r="B24" s="218"/>
      <c r="C24" s="218"/>
      <c r="D24" s="218"/>
      <c r="E24" s="219"/>
      <c r="F24" s="69">
        <v>11</v>
      </c>
      <c r="G24" s="69">
        <v>18</v>
      </c>
      <c r="H24" s="69">
        <v>11</v>
      </c>
      <c r="I24" s="69">
        <v>0</v>
      </c>
      <c r="J24" s="69">
        <v>0</v>
      </c>
      <c r="K24" s="73">
        <v>40</v>
      </c>
      <c r="L24" s="74">
        <v>4</v>
      </c>
      <c r="M24" s="74">
        <v>0.74161984870956676</v>
      </c>
      <c r="N24" s="75" t="s">
        <v>208</v>
      </c>
    </row>
    <row r="25" spans="1:14" ht="23.25" x14ac:dyDescent="0.2">
      <c r="A25" s="217" t="s">
        <v>8</v>
      </c>
      <c r="B25" s="218"/>
      <c r="C25" s="218"/>
      <c r="D25" s="218"/>
      <c r="E25" s="219"/>
      <c r="F25" s="69">
        <v>14</v>
      </c>
      <c r="G25" s="69">
        <v>15</v>
      </c>
      <c r="H25" s="69">
        <v>11</v>
      </c>
      <c r="I25" s="69">
        <v>0</v>
      </c>
      <c r="J25" s="69">
        <v>0</v>
      </c>
      <c r="K25" s="73">
        <v>40</v>
      </c>
      <c r="L25" s="74">
        <v>4.0750000000000002</v>
      </c>
      <c r="M25" s="74">
        <v>0.78700381193486069</v>
      </c>
      <c r="N25" s="75" t="s">
        <v>208</v>
      </c>
    </row>
    <row r="26" spans="1:14" ht="23.25" x14ac:dyDescent="0.5">
      <c r="A26" s="214" t="s">
        <v>83</v>
      </c>
      <c r="B26" s="214"/>
      <c r="C26" s="214"/>
      <c r="D26" s="214"/>
      <c r="E26" s="214"/>
      <c r="F26" s="105">
        <v>100</v>
      </c>
      <c r="G26" s="105">
        <v>132</v>
      </c>
      <c r="H26" s="105">
        <v>88</v>
      </c>
      <c r="I26" s="105">
        <v>0</v>
      </c>
      <c r="J26" s="105">
        <v>0</v>
      </c>
      <c r="K26" s="73">
        <v>320</v>
      </c>
      <c r="L26" s="74">
        <v>4.0374999999999996</v>
      </c>
      <c r="M26" s="74">
        <v>0.76556759988913026</v>
      </c>
      <c r="N26" s="75" t="s">
        <v>208</v>
      </c>
    </row>
    <row r="27" spans="1:14" ht="22.5" x14ac:dyDescent="0.45">
      <c r="A27" s="109"/>
      <c r="B27" s="109"/>
      <c r="C27" s="109"/>
      <c r="D27" s="109"/>
      <c r="E27" s="109"/>
      <c r="F27" s="109"/>
      <c r="G27" s="110"/>
      <c r="H27" s="109"/>
      <c r="I27" s="109"/>
      <c r="J27" s="109"/>
      <c r="K27" s="116"/>
      <c r="L27" s="110"/>
      <c r="M27" s="110"/>
      <c r="N27" s="109"/>
    </row>
    <row r="28" spans="1:14" ht="22.5" x14ac:dyDescent="0.45">
      <c r="A28" s="198" t="s">
        <v>112</v>
      </c>
      <c r="B28" s="198"/>
      <c r="C28" s="117"/>
      <c r="D28" s="109"/>
      <c r="E28" s="109"/>
      <c r="F28" s="109"/>
      <c r="G28" s="110"/>
      <c r="H28" s="109"/>
      <c r="I28" s="109"/>
      <c r="J28" s="109"/>
      <c r="K28" s="116"/>
      <c r="L28" s="110"/>
      <c r="M28" s="110"/>
      <c r="N28" s="109"/>
    </row>
    <row r="29" spans="1:14" ht="22.5" x14ac:dyDescent="0.45">
      <c r="A29" s="109"/>
      <c r="B29" s="117"/>
      <c r="C29" s="118">
        <v>1</v>
      </c>
      <c r="D29" s="95">
        <v>0</v>
      </c>
      <c r="E29" s="119"/>
      <c r="F29" s="119"/>
      <c r="G29" s="120"/>
      <c r="H29" s="119"/>
      <c r="I29" s="119"/>
      <c r="J29" s="119"/>
      <c r="K29" s="121"/>
      <c r="L29" s="120"/>
      <c r="M29" s="120"/>
      <c r="N29" s="119"/>
    </row>
    <row r="30" spans="1:14" ht="22.5" x14ac:dyDescent="0.45">
      <c r="A30" s="109"/>
      <c r="B30" s="117"/>
      <c r="C30" s="118">
        <v>2</v>
      </c>
      <c r="D30" s="95">
        <v>0</v>
      </c>
      <c r="E30" s="109"/>
      <c r="F30" s="109"/>
      <c r="G30" s="110"/>
      <c r="H30" s="109"/>
      <c r="I30" s="109"/>
      <c r="J30" s="109"/>
      <c r="K30" s="116"/>
      <c r="L30" s="110"/>
      <c r="M30" s="110"/>
      <c r="N30" s="109"/>
    </row>
    <row r="31" spans="1:14" ht="22.5" x14ac:dyDescent="0.45">
      <c r="A31" s="109"/>
      <c r="B31" s="117"/>
      <c r="C31" s="118">
        <v>3</v>
      </c>
      <c r="D31" s="95">
        <v>0</v>
      </c>
      <c r="E31" s="109"/>
      <c r="F31" s="109"/>
      <c r="G31" s="110"/>
      <c r="H31" s="109"/>
      <c r="I31" s="109"/>
      <c r="J31" s="109"/>
      <c r="K31" s="116"/>
      <c r="L31" s="110"/>
      <c r="M31" s="110"/>
      <c r="N31" s="109"/>
    </row>
    <row r="32" spans="1:14" ht="22.5" x14ac:dyDescent="0.45">
      <c r="A32" s="109"/>
      <c r="B32" s="117"/>
      <c r="C32" s="118">
        <v>4</v>
      </c>
      <c r="D32" s="95">
        <v>0</v>
      </c>
      <c r="E32" s="109"/>
      <c r="F32" s="109"/>
      <c r="G32" s="110"/>
      <c r="H32" s="109"/>
      <c r="I32" s="109"/>
      <c r="J32" s="109"/>
      <c r="K32" s="116"/>
      <c r="L32" s="110"/>
      <c r="M32" s="110"/>
      <c r="N32" s="109"/>
    </row>
    <row r="33" spans="1:14" ht="22.5" x14ac:dyDescent="0.45">
      <c r="A33" s="109"/>
      <c r="B33" s="117"/>
      <c r="C33" s="118">
        <v>5</v>
      </c>
      <c r="D33" s="95">
        <v>0</v>
      </c>
      <c r="E33" s="109"/>
      <c r="F33" s="109"/>
      <c r="G33" s="110"/>
      <c r="H33" s="109"/>
      <c r="I33" s="109"/>
      <c r="J33" s="109"/>
      <c r="K33" s="116"/>
      <c r="L33" s="110"/>
      <c r="M33" s="110"/>
      <c r="N33" s="109"/>
    </row>
    <row r="34" spans="1:14" ht="22.5" x14ac:dyDescent="0.45">
      <c r="A34" s="109"/>
      <c r="B34" s="117"/>
      <c r="C34" s="118">
        <v>6</v>
      </c>
      <c r="D34" s="95">
        <v>0</v>
      </c>
      <c r="E34" s="109"/>
      <c r="F34" s="109"/>
      <c r="G34" s="110"/>
      <c r="H34" s="109"/>
      <c r="I34" s="109"/>
      <c r="J34" s="109"/>
      <c r="K34" s="116"/>
      <c r="L34" s="110"/>
      <c r="M34" s="110"/>
      <c r="N34" s="109"/>
    </row>
    <row r="35" spans="1:14" ht="22.5" x14ac:dyDescent="0.45">
      <c r="A35" s="109"/>
      <c r="B35" s="117"/>
      <c r="C35" s="118">
        <v>7</v>
      </c>
      <c r="D35" s="95">
        <v>0</v>
      </c>
      <c r="E35" s="109"/>
      <c r="F35" s="109"/>
      <c r="G35" s="110"/>
      <c r="H35" s="109"/>
      <c r="I35" s="109"/>
      <c r="J35" s="109"/>
      <c r="K35" s="116"/>
      <c r="L35" s="110"/>
      <c r="M35" s="110"/>
      <c r="N35" s="109"/>
    </row>
    <row r="36" spans="1:14" ht="22.5" x14ac:dyDescent="0.45">
      <c r="A36" s="109"/>
      <c r="B36" s="117"/>
      <c r="C36" s="118">
        <v>8</v>
      </c>
      <c r="D36" s="95">
        <v>0</v>
      </c>
      <c r="E36" s="109"/>
      <c r="F36" s="109"/>
      <c r="G36" s="110"/>
      <c r="H36" s="109"/>
      <c r="I36" s="109"/>
      <c r="J36" s="109"/>
      <c r="K36" s="116"/>
      <c r="L36" s="110"/>
      <c r="M36" s="110"/>
      <c r="N36" s="109"/>
    </row>
    <row r="37" spans="1:14" ht="22.5" x14ac:dyDescent="0.45">
      <c r="A37" s="109"/>
      <c r="B37" s="117"/>
      <c r="C37" s="118">
        <v>9</v>
      </c>
      <c r="D37" s="95">
        <v>0</v>
      </c>
      <c r="E37" s="109"/>
      <c r="F37" s="109"/>
      <c r="G37" s="110"/>
      <c r="H37" s="109"/>
      <c r="I37" s="109"/>
      <c r="J37" s="109"/>
      <c r="K37" s="116"/>
      <c r="L37" s="110"/>
      <c r="M37" s="110"/>
      <c r="N37" s="109"/>
    </row>
    <row r="38" spans="1:14" ht="22.5" x14ac:dyDescent="0.45">
      <c r="A38" s="109"/>
      <c r="B38" s="117"/>
      <c r="C38" s="118">
        <v>10</v>
      </c>
      <c r="D38" s="95">
        <v>0</v>
      </c>
      <c r="E38" s="109"/>
      <c r="F38" s="109"/>
      <c r="G38" s="110"/>
      <c r="H38" s="109"/>
      <c r="I38" s="109"/>
      <c r="J38" s="109"/>
      <c r="K38" s="116"/>
      <c r="L38" s="110"/>
      <c r="M38" s="110"/>
      <c r="N38" s="109"/>
    </row>
  </sheetData>
  <mergeCells count="27">
    <mergeCell ref="A26:E26"/>
    <mergeCell ref="A28:B28"/>
    <mergeCell ref="A20:E20"/>
    <mergeCell ref="A21:E21"/>
    <mergeCell ref="A22:E22"/>
    <mergeCell ref="A23:E23"/>
    <mergeCell ref="A24:E24"/>
    <mergeCell ref="A25:E25"/>
    <mergeCell ref="K16:K17"/>
    <mergeCell ref="L16:L17"/>
    <mergeCell ref="M16:M17"/>
    <mergeCell ref="N16:N17"/>
    <mergeCell ref="A18:E18"/>
    <mergeCell ref="A19:E19"/>
    <mergeCell ref="B6:F6"/>
    <mergeCell ref="G6:H6"/>
    <mergeCell ref="B7:D7"/>
    <mergeCell ref="G7:H7"/>
    <mergeCell ref="A10:B10"/>
    <mergeCell ref="A16:E17"/>
    <mergeCell ref="F16:J16"/>
    <mergeCell ref="A1:N1"/>
    <mergeCell ref="A2:N2"/>
    <mergeCell ref="A3:N3"/>
    <mergeCell ref="B5:F5"/>
    <mergeCell ref="G5:H5"/>
    <mergeCell ref="I5:J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41"/>
  <sheetViews>
    <sheetView topLeftCell="B1" zoomScaleNormal="100" workbookViewId="0">
      <selection activeCell="E2" sqref="E2:E41"/>
    </sheetView>
  </sheetViews>
  <sheetFormatPr defaultRowHeight="14.25" x14ac:dyDescent="0.2"/>
  <cols>
    <col min="1" max="1" width="6.5" style="128" hidden="1" customWidth="1"/>
    <col min="2" max="2" width="14.375" style="129" bestFit="1" customWidth="1"/>
    <col min="3" max="3" width="36.5" style="128" bestFit="1" customWidth="1"/>
    <col min="4" max="4" width="17.875" style="140" bestFit="1" customWidth="1"/>
    <col min="5" max="5" width="31.625" style="128" bestFit="1" customWidth="1"/>
    <col min="6" max="6" width="22.625" style="128" bestFit="1" customWidth="1"/>
    <col min="7" max="7" width="25.375" style="128" bestFit="1" customWidth="1"/>
    <col min="8" max="8" width="7.5" style="128" customWidth="1"/>
    <col min="9" max="9" width="6.75" style="128" customWidth="1"/>
    <col min="10" max="10" width="6.625" style="128" customWidth="1"/>
    <col min="11" max="11" width="6.75" style="128" customWidth="1"/>
    <col min="12" max="13" width="5.875" style="128" customWidth="1"/>
    <col min="14" max="14" width="7.75" style="142" customWidth="1"/>
    <col min="15" max="15" width="10.375" style="142" customWidth="1"/>
    <col min="16" max="16" width="7.5" style="128" customWidth="1"/>
    <col min="17" max="25" width="14.5" style="128" bestFit="1" customWidth="1"/>
    <col min="26" max="26" width="15.75" style="128" bestFit="1" customWidth="1"/>
  </cols>
  <sheetData>
    <row r="1" spans="1:26" s="143" customFormat="1" ht="112.5" x14ac:dyDescent="0.45">
      <c r="A1" s="123" t="s">
        <v>37</v>
      </c>
      <c r="B1" s="124" t="s">
        <v>171</v>
      </c>
      <c r="C1" s="125" t="s">
        <v>178</v>
      </c>
      <c r="D1" s="126" t="s">
        <v>170</v>
      </c>
      <c r="E1" s="125" t="s">
        <v>198</v>
      </c>
      <c r="F1" s="125" t="s">
        <v>172</v>
      </c>
      <c r="G1" s="127" t="s">
        <v>169</v>
      </c>
      <c r="H1" s="127" t="s">
        <v>93</v>
      </c>
      <c r="I1" s="127" t="s">
        <v>173</v>
      </c>
      <c r="J1" s="127" t="s">
        <v>174</v>
      </c>
      <c r="K1" s="127" t="s">
        <v>175</v>
      </c>
      <c r="L1" s="125" t="s">
        <v>176</v>
      </c>
      <c r="M1" s="125" t="s">
        <v>177</v>
      </c>
      <c r="N1" s="141" t="s">
        <v>126</v>
      </c>
      <c r="O1" s="141" t="s">
        <v>127</v>
      </c>
      <c r="P1" s="125" t="s">
        <v>179</v>
      </c>
      <c r="Q1" s="125" t="s">
        <v>187</v>
      </c>
      <c r="R1" s="125" t="s">
        <v>188</v>
      </c>
      <c r="S1" s="125" t="s">
        <v>189</v>
      </c>
      <c r="T1" s="125" t="s">
        <v>190</v>
      </c>
      <c r="U1" s="125" t="s">
        <v>191</v>
      </c>
      <c r="V1" s="125" t="s">
        <v>192</v>
      </c>
      <c r="W1" s="125" t="s">
        <v>193</v>
      </c>
      <c r="X1" s="125" t="s">
        <v>194</v>
      </c>
      <c r="Y1" s="125" t="s">
        <v>195</v>
      </c>
      <c r="Z1" s="125" t="s">
        <v>196</v>
      </c>
    </row>
    <row r="2" spans="1:26" ht="22.5" x14ac:dyDescent="0.45">
      <c r="A2" s="144"/>
      <c r="B2" s="145">
        <v>1</v>
      </c>
      <c r="C2" s="144" t="s">
        <v>122</v>
      </c>
      <c r="D2" s="146">
        <v>42539</v>
      </c>
      <c r="E2" s="144" t="s">
        <v>269</v>
      </c>
      <c r="F2" s="144" t="s">
        <v>259</v>
      </c>
      <c r="G2" s="144" t="s">
        <v>209</v>
      </c>
      <c r="H2" s="144">
        <v>40</v>
      </c>
      <c r="I2" s="144">
        <v>156</v>
      </c>
      <c r="J2" s="144">
        <v>76</v>
      </c>
      <c r="K2" s="144">
        <v>88</v>
      </c>
      <c r="L2" s="144" t="s">
        <v>207</v>
      </c>
      <c r="M2" s="144" t="s">
        <v>207</v>
      </c>
      <c r="N2" s="147">
        <v>4.2125000000000004</v>
      </c>
      <c r="O2" s="147">
        <v>0.84696148082424283</v>
      </c>
      <c r="P2" s="144" t="s">
        <v>208</v>
      </c>
      <c r="Q2" s="144" t="s">
        <v>207</v>
      </c>
      <c r="R2" s="144" t="s">
        <v>207</v>
      </c>
      <c r="S2" s="144" t="s">
        <v>207</v>
      </c>
      <c r="T2" s="144" t="s">
        <v>207</v>
      </c>
      <c r="U2" s="144" t="s">
        <v>207</v>
      </c>
      <c r="V2" s="144" t="s">
        <v>207</v>
      </c>
      <c r="W2" s="144" t="s">
        <v>207</v>
      </c>
      <c r="X2" s="144" t="s">
        <v>207</v>
      </c>
      <c r="Y2" s="144" t="s">
        <v>207</v>
      </c>
      <c r="Z2" s="144" t="s">
        <v>207</v>
      </c>
    </row>
    <row r="3" spans="1:26" ht="22.5" x14ac:dyDescent="0.45">
      <c r="A3" s="144"/>
      <c r="B3" s="145">
        <v>1</v>
      </c>
      <c r="C3" s="144" t="s">
        <v>122</v>
      </c>
      <c r="D3" s="146">
        <v>42539</v>
      </c>
      <c r="E3" s="144" t="s">
        <v>269</v>
      </c>
      <c r="F3" s="144" t="s">
        <v>260</v>
      </c>
      <c r="G3" s="144" t="s">
        <v>210</v>
      </c>
      <c r="H3" s="144">
        <v>40</v>
      </c>
      <c r="I3" s="144">
        <v>108</v>
      </c>
      <c r="J3" s="144">
        <v>120</v>
      </c>
      <c r="K3" s="144">
        <v>92</v>
      </c>
      <c r="L3" s="144" t="s">
        <v>207</v>
      </c>
      <c r="M3" s="144" t="s">
        <v>207</v>
      </c>
      <c r="N3" s="147">
        <v>4.05</v>
      </c>
      <c r="O3" s="147">
        <v>0.78898669190297421</v>
      </c>
      <c r="P3" s="144" t="s">
        <v>208</v>
      </c>
      <c r="Q3" s="144" t="s">
        <v>207</v>
      </c>
      <c r="R3" s="144" t="s">
        <v>207</v>
      </c>
      <c r="S3" s="144" t="s">
        <v>207</v>
      </c>
      <c r="T3" s="144" t="s">
        <v>207</v>
      </c>
      <c r="U3" s="144" t="s">
        <v>207</v>
      </c>
      <c r="V3" s="144" t="s">
        <v>207</v>
      </c>
      <c r="W3" s="144" t="s">
        <v>207</v>
      </c>
      <c r="X3" s="144" t="s">
        <v>207</v>
      </c>
      <c r="Y3" s="144" t="s">
        <v>207</v>
      </c>
      <c r="Z3" s="144" t="s">
        <v>207</v>
      </c>
    </row>
    <row r="4" spans="1:26" ht="22.5" x14ac:dyDescent="0.45">
      <c r="A4" s="144"/>
      <c r="B4" s="145">
        <v>1</v>
      </c>
      <c r="C4" s="144" t="s">
        <v>122</v>
      </c>
      <c r="D4" s="146">
        <v>42539</v>
      </c>
      <c r="E4" s="144" t="s">
        <v>269</v>
      </c>
      <c r="F4" s="144" t="s">
        <v>261</v>
      </c>
      <c r="G4" s="144" t="s">
        <v>211</v>
      </c>
      <c r="H4" s="144">
        <v>40</v>
      </c>
      <c r="I4" s="144">
        <v>140</v>
      </c>
      <c r="J4" s="144">
        <v>144</v>
      </c>
      <c r="K4" s="144">
        <v>36</v>
      </c>
      <c r="L4" s="144" t="s">
        <v>207</v>
      </c>
      <c r="M4" s="144" t="s">
        <v>207</v>
      </c>
      <c r="N4" s="147">
        <v>4.3250000000000002</v>
      </c>
      <c r="O4" s="147">
        <v>0.66661458129866713</v>
      </c>
      <c r="P4" s="144" t="s">
        <v>208</v>
      </c>
      <c r="Q4" s="144" t="s">
        <v>207</v>
      </c>
      <c r="R4" s="144" t="s">
        <v>207</v>
      </c>
      <c r="S4" s="144" t="s">
        <v>207</v>
      </c>
      <c r="T4" s="144" t="s">
        <v>207</v>
      </c>
      <c r="U4" s="144" t="s">
        <v>207</v>
      </c>
      <c r="V4" s="144" t="s">
        <v>207</v>
      </c>
      <c r="W4" s="144" t="s">
        <v>207</v>
      </c>
      <c r="X4" s="144" t="s">
        <v>207</v>
      </c>
      <c r="Y4" s="144" t="s">
        <v>207</v>
      </c>
      <c r="Z4" s="144" t="s">
        <v>207</v>
      </c>
    </row>
    <row r="5" spans="1:26" ht="22.5" x14ac:dyDescent="0.45">
      <c r="A5" s="144"/>
      <c r="B5" s="145">
        <v>1</v>
      </c>
      <c r="C5" s="144" t="s">
        <v>122</v>
      </c>
      <c r="D5" s="146">
        <v>42539</v>
      </c>
      <c r="E5" s="144" t="s">
        <v>269</v>
      </c>
      <c r="F5" s="144" t="s">
        <v>262</v>
      </c>
      <c r="G5" s="144" t="s">
        <v>212</v>
      </c>
      <c r="H5" s="144">
        <v>40</v>
      </c>
      <c r="I5" s="144">
        <v>164</v>
      </c>
      <c r="J5" s="144">
        <v>136</v>
      </c>
      <c r="K5" s="144">
        <v>20</v>
      </c>
      <c r="L5" s="144" t="s">
        <v>207</v>
      </c>
      <c r="M5" s="144" t="s">
        <v>207</v>
      </c>
      <c r="N5" s="147">
        <v>4.45</v>
      </c>
      <c r="O5" s="147">
        <v>0.61032778078668415</v>
      </c>
      <c r="P5" s="144" t="s">
        <v>208</v>
      </c>
      <c r="Q5" s="144" t="s">
        <v>207</v>
      </c>
      <c r="R5" s="144" t="s">
        <v>207</v>
      </c>
      <c r="S5" s="144" t="s">
        <v>207</v>
      </c>
      <c r="T5" s="144" t="s">
        <v>207</v>
      </c>
      <c r="U5" s="144" t="s">
        <v>207</v>
      </c>
      <c r="V5" s="144" t="s">
        <v>207</v>
      </c>
      <c r="W5" s="144" t="s">
        <v>207</v>
      </c>
      <c r="X5" s="144" t="s">
        <v>207</v>
      </c>
      <c r="Y5" s="144" t="s">
        <v>207</v>
      </c>
      <c r="Z5" s="144" t="s">
        <v>207</v>
      </c>
    </row>
    <row r="6" spans="1:26" ht="22.5" x14ac:dyDescent="0.45">
      <c r="A6" s="144"/>
      <c r="B6" s="145">
        <v>1</v>
      </c>
      <c r="C6" s="144" t="s">
        <v>122</v>
      </c>
      <c r="D6" s="146">
        <v>42539</v>
      </c>
      <c r="E6" s="144" t="s">
        <v>269</v>
      </c>
      <c r="F6" s="144" t="s">
        <v>263</v>
      </c>
      <c r="G6" s="144" t="s">
        <v>213</v>
      </c>
      <c r="H6" s="144">
        <v>40</v>
      </c>
      <c r="I6" s="144">
        <v>100</v>
      </c>
      <c r="J6" s="144">
        <v>132</v>
      </c>
      <c r="K6" s="144">
        <v>88</v>
      </c>
      <c r="L6" s="144" t="s">
        <v>207</v>
      </c>
      <c r="M6" s="144" t="s">
        <v>207</v>
      </c>
      <c r="N6" s="147">
        <v>4.0374999999999996</v>
      </c>
      <c r="O6" s="147">
        <v>0.76556759988913026</v>
      </c>
      <c r="P6" s="144" t="s">
        <v>208</v>
      </c>
      <c r="Q6" s="144" t="s">
        <v>207</v>
      </c>
      <c r="R6" s="144" t="s">
        <v>207</v>
      </c>
      <c r="S6" s="144" t="s">
        <v>207</v>
      </c>
      <c r="T6" s="144" t="s">
        <v>207</v>
      </c>
      <c r="U6" s="144" t="s">
        <v>207</v>
      </c>
      <c r="V6" s="144" t="s">
        <v>207</v>
      </c>
      <c r="W6" s="144" t="s">
        <v>207</v>
      </c>
      <c r="X6" s="144" t="s">
        <v>207</v>
      </c>
      <c r="Y6" s="144" t="s">
        <v>207</v>
      </c>
      <c r="Z6" s="144" t="s">
        <v>207</v>
      </c>
    </row>
    <row r="7" spans="1:26" ht="22.5" x14ac:dyDescent="0.45">
      <c r="A7" s="144"/>
      <c r="B7" s="145">
        <v>1</v>
      </c>
      <c r="C7" s="144" t="s">
        <v>122</v>
      </c>
      <c r="D7" s="146">
        <v>42539</v>
      </c>
      <c r="E7" s="144" t="s">
        <v>269</v>
      </c>
      <c r="F7" s="144" t="s">
        <v>264</v>
      </c>
      <c r="G7" s="144" t="s">
        <v>214</v>
      </c>
      <c r="H7" s="144">
        <v>40</v>
      </c>
      <c r="I7" s="144">
        <v>100</v>
      </c>
      <c r="J7" s="144">
        <v>132</v>
      </c>
      <c r="K7" s="144">
        <v>88</v>
      </c>
      <c r="L7" s="144" t="s">
        <v>207</v>
      </c>
      <c r="M7" s="144" t="s">
        <v>207</v>
      </c>
      <c r="N7" s="147">
        <v>4.0374999999999996</v>
      </c>
      <c r="O7" s="147">
        <v>0.76556759988913026</v>
      </c>
      <c r="P7" s="144" t="s">
        <v>208</v>
      </c>
      <c r="Q7" s="144" t="s">
        <v>207</v>
      </c>
      <c r="R7" s="144" t="s">
        <v>207</v>
      </c>
      <c r="S7" s="144" t="s">
        <v>207</v>
      </c>
      <c r="T7" s="144" t="s">
        <v>207</v>
      </c>
      <c r="U7" s="144" t="s">
        <v>207</v>
      </c>
      <c r="V7" s="144" t="s">
        <v>207</v>
      </c>
      <c r="W7" s="144" t="s">
        <v>207</v>
      </c>
      <c r="X7" s="144" t="s">
        <v>207</v>
      </c>
      <c r="Y7" s="144" t="s">
        <v>207</v>
      </c>
      <c r="Z7" s="144" t="s">
        <v>207</v>
      </c>
    </row>
    <row r="8" spans="1:26" ht="22.5" x14ac:dyDescent="0.45">
      <c r="A8" s="144"/>
      <c r="B8" s="145">
        <v>1</v>
      </c>
      <c r="C8" s="144" t="s">
        <v>122</v>
      </c>
      <c r="D8" s="146">
        <v>42539</v>
      </c>
      <c r="E8" s="144" t="s">
        <v>269</v>
      </c>
      <c r="F8" s="144" t="s">
        <v>265</v>
      </c>
      <c r="G8" s="144" t="s">
        <v>215</v>
      </c>
      <c r="H8" s="144">
        <v>40</v>
      </c>
      <c r="I8" s="144">
        <v>164</v>
      </c>
      <c r="J8" s="144">
        <v>136</v>
      </c>
      <c r="K8" s="144">
        <v>20</v>
      </c>
      <c r="L8" s="144" t="s">
        <v>207</v>
      </c>
      <c r="M8" s="144" t="s">
        <v>207</v>
      </c>
      <c r="N8" s="147">
        <v>4.45</v>
      </c>
      <c r="O8" s="147">
        <v>0.61032778078668415</v>
      </c>
      <c r="P8" s="144" t="s">
        <v>208</v>
      </c>
      <c r="Q8" s="144" t="s">
        <v>207</v>
      </c>
      <c r="R8" s="144" t="s">
        <v>207</v>
      </c>
      <c r="S8" s="144" t="s">
        <v>207</v>
      </c>
      <c r="T8" s="144" t="s">
        <v>207</v>
      </c>
      <c r="U8" s="144" t="s">
        <v>207</v>
      </c>
      <c r="V8" s="144" t="s">
        <v>207</v>
      </c>
      <c r="W8" s="144" t="s">
        <v>207</v>
      </c>
      <c r="X8" s="144" t="s">
        <v>207</v>
      </c>
      <c r="Y8" s="144" t="s">
        <v>207</v>
      </c>
      <c r="Z8" s="144" t="s">
        <v>207</v>
      </c>
    </row>
    <row r="9" spans="1:26" ht="22.5" x14ac:dyDescent="0.45">
      <c r="A9" s="144"/>
      <c r="B9" s="145">
        <v>1</v>
      </c>
      <c r="C9" s="144" t="s">
        <v>122</v>
      </c>
      <c r="D9" s="146">
        <v>42539</v>
      </c>
      <c r="E9" s="144" t="s">
        <v>269</v>
      </c>
      <c r="F9" s="144" t="s">
        <v>266</v>
      </c>
      <c r="G9" s="144" t="s">
        <v>216</v>
      </c>
      <c r="H9" s="144">
        <v>40</v>
      </c>
      <c r="I9" s="144">
        <v>140</v>
      </c>
      <c r="J9" s="144">
        <v>144</v>
      </c>
      <c r="K9" s="144">
        <v>36</v>
      </c>
      <c r="L9" s="144" t="s">
        <v>207</v>
      </c>
      <c r="M9" s="144" t="s">
        <v>207</v>
      </c>
      <c r="N9" s="147">
        <v>4.3250000000000002</v>
      </c>
      <c r="O9" s="147">
        <v>0.66661458129866713</v>
      </c>
      <c r="P9" s="144" t="s">
        <v>208</v>
      </c>
      <c r="Q9" s="144" t="s">
        <v>207</v>
      </c>
      <c r="R9" s="144" t="s">
        <v>207</v>
      </c>
      <c r="S9" s="144" t="s">
        <v>207</v>
      </c>
      <c r="T9" s="144" t="s">
        <v>207</v>
      </c>
      <c r="U9" s="144" t="s">
        <v>207</v>
      </c>
      <c r="V9" s="144" t="s">
        <v>207</v>
      </c>
      <c r="W9" s="144" t="s">
        <v>207</v>
      </c>
      <c r="X9" s="144" t="s">
        <v>207</v>
      </c>
      <c r="Y9" s="144" t="s">
        <v>207</v>
      </c>
      <c r="Z9" s="144" t="s">
        <v>207</v>
      </c>
    </row>
    <row r="10" spans="1:26" ht="22.5" x14ac:dyDescent="0.45">
      <c r="A10" s="144"/>
      <c r="B10" s="145">
        <v>1</v>
      </c>
      <c r="C10" s="144" t="s">
        <v>122</v>
      </c>
      <c r="D10" s="146">
        <v>42539</v>
      </c>
      <c r="E10" s="144" t="s">
        <v>269</v>
      </c>
      <c r="F10" s="144" t="s">
        <v>267</v>
      </c>
      <c r="G10" s="144" t="s">
        <v>217</v>
      </c>
      <c r="H10" s="144">
        <v>40</v>
      </c>
      <c r="I10" s="144">
        <v>108</v>
      </c>
      <c r="J10" s="144">
        <v>120</v>
      </c>
      <c r="K10" s="144">
        <v>92</v>
      </c>
      <c r="L10" s="144" t="s">
        <v>207</v>
      </c>
      <c r="M10" s="144" t="s">
        <v>207</v>
      </c>
      <c r="N10" s="147">
        <v>4.05</v>
      </c>
      <c r="O10" s="147">
        <v>0.78898669190297421</v>
      </c>
      <c r="P10" s="144" t="s">
        <v>208</v>
      </c>
      <c r="Q10" s="144" t="s">
        <v>207</v>
      </c>
      <c r="R10" s="144" t="s">
        <v>207</v>
      </c>
      <c r="S10" s="144" t="s">
        <v>207</v>
      </c>
      <c r="T10" s="144" t="s">
        <v>207</v>
      </c>
      <c r="U10" s="144" t="s">
        <v>207</v>
      </c>
      <c r="V10" s="144" t="s">
        <v>207</v>
      </c>
      <c r="W10" s="144" t="s">
        <v>207</v>
      </c>
      <c r="X10" s="144" t="s">
        <v>207</v>
      </c>
      <c r="Y10" s="144" t="s">
        <v>207</v>
      </c>
      <c r="Z10" s="144" t="s">
        <v>207</v>
      </c>
    </row>
    <row r="11" spans="1:26" ht="22.5" x14ac:dyDescent="0.45">
      <c r="A11" s="144"/>
      <c r="B11" s="145">
        <v>1</v>
      </c>
      <c r="C11" s="144" t="s">
        <v>122</v>
      </c>
      <c r="D11" s="146">
        <v>42539</v>
      </c>
      <c r="E11" s="144" t="s">
        <v>269</v>
      </c>
      <c r="F11" s="144" t="s">
        <v>268</v>
      </c>
      <c r="G11" s="144" t="s">
        <v>218</v>
      </c>
      <c r="H11" s="144">
        <v>40</v>
      </c>
      <c r="I11" s="144">
        <v>156</v>
      </c>
      <c r="J11" s="144">
        <v>76</v>
      </c>
      <c r="K11" s="144">
        <v>88</v>
      </c>
      <c r="L11" s="144" t="s">
        <v>207</v>
      </c>
      <c r="M11" s="144" t="s">
        <v>207</v>
      </c>
      <c r="N11" s="147">
        <v>4.2125000000000004</v>
      </c>
      <c r="O11" s="147">
        <v>0.84696148082424283</v>
      </c>
      <c r="P11" s="144" t="s">
        <v>208</v>
      </c>
      <c r="Q11" s="144" t="s">
        <v>207</v>
      </c>
      <c r="R11" s="144" t="s">
        <v>207</v>
      </c>
      <c r="S11" s="144" t="s">
        <v>207</v>
      </c>
      <c r="T11" s="144" t="s">
        <v>207</v>
      </c>
      <c r="U11" s="144" t="s">
        <v>207</v>
      </c>
      <c r="V11" s="144" t="s">
        <v>207</v>
      </c>
      <c r="W11" s="144" t="s">
        <v>207</v>
      </c>
      <c r="X11" s="144" t="s">
        <v>207</v>
      </c>
      <c r="Y11" s="144" t="s">
        <v>207</v>
      </c>
      <c r="Z11" s="144" t="s">
        <v>207</v>
      </c>
    </row>
    <row r="12" spans="1:26" ht="22.5" x14ac:dyDescent="0.45">
      <c r="A12" s="144"/>
      <c r="B12" s="145">
        <v>2</v>
      </c>
      <c r="C12" s="144" t="s">
        <v>122</v>
      </c>
      <c r="D12" s="146">
        <v>42539</v>
      </c>
      <c r="E12" s="144" t="s">
        <v>269</v>
      </c>
      <c r="F12" s="144" t="s">
        <v>259</v>
      </c>
      <c r="G12" s="144" t="s">
        <v>209</v>
      </c>
      <c r="H12" s="144">
        <v>40</v>
      </c>
      <c r="I12" s="144">
        <v>156</v>
      </c>
      <c r="J12" s="144">
        <v>76</v>
      </c>
      <c r="K12" s="144">
        <v>88</v>
      </c>
      <c r="L12" s="144" t="s">
        <v>207</v>
      </c>
      <c r="M12" s="144" t="s">
        <v>207</v>
      </c>
      <c r="N12" s="147">
        <v>4.2125000000000004</v>
      </c>
      <c r="O12" s="147">
        <v>0.84696148082424283</v>
      </c>
      <c r="P12" s="144" t="s">
        <v>208</v>
      </c>
      <c r="Q12" s="144" t="s">
        <v>207</v>
      </c>
      <c r="R12" s="144" t="s">
        <v>207</v>
      </c>
      <c r="S12" s="144" t="s">
        <v>207</v>
      </c>
      <c r="T12" s="144" t="s">
        <v>207</v>
      </c>
      <c r="U12" s="144" t="s">
        <v>207</v>
      </c>
      <c r="V12" s="144" t="s">
        <v>207</v>
      </c>
      <c r="W12" s="144" t="s">
        <v>207</v>
      </c>
      <c r="X12" s="144" t="s">
        <v>207</v>
      </c>
      <c r="Y12" s="144" t="s">
        <v>207</v>
      </c>
      <c r="Z12" s="144" t="s">
        <v>207</v>
      </c>
    </row>
    <row r="13" spans="1:26" ht="22.5" x14ac:dyDescent="0.45">
      <c r="A13" s="144"/>
      <c r="B13" s="145">
        <v>2</v>
      </c>
      <c r="C13" s="144" t="s">
        <v>122</v>
      </c>
      <c r="D13" s="146">
        <v>42539</v>
      </c>
      <c r="E13" s="144" t="s">
        <v>269</v>
      </c>
      <c r="F13" s="144" t="s">
        <v>260</v>
      </c>
      <c r="G13" s="144" t="s">
        <v>210</v>
      </c>
      <c r="H13" s="144">
        <v>40</v>
      </c>
      <c r="I13" s="144">
        <v>108</v>
      </c>
      <c r="J13" s="144">
        <v>120</v>
      </c>
      <c r="K13" s="144">
        <v>92</v>
      </c>
      <c r="L13" s="144" t="s">
        <v>207</v>
      </c>
      <c r="M13" s="144" t="s">
        <v>207</v>
      </c>
      <c r="N13" s="147">
        <v>4.05</v>
      </c>
      <c r="O13" s="147">
        <v>0.78898669190297421</v>
      </c>
      <c r="P13" s="144" t="s">
        <v>208</v>
      </c>
      <c r="Q13" s="144" t="s">
        <v>207</v>
      </c>
      <c r="R13" s="144" t="s">
        <v>207</v>
      </c>
      <c r="S13" s="144" t="s">
        <v>207</v>
      </c>
      <c r="T13" s="144" t="s">
        <v>207</v>
      </c>
      <c r="U13" s="144" t="s">
        <v>207</v>
      </c>
      <c r="V13" s="144" t="s">
        <v>207</v>
      </c>
      <c r="W13" s="144" t="s">
        <v>207</v>
      </c>
      <c r="X13" s="144" t="s">
        <v>207</v>
      </c>
      <c r="Y13" s="144" t="s">
        <v>207</v>
      </c>
      <c r="Z13" s="144" t="s">
        <v>207</v>
      </c>
    </row>
    <row r="14" spans="1:26" ht="22.5" x14ac:dyDescent="0.45">
      <c r="A14" s="144"/>
      <c r="B14" s="145">
        <v>2</v>
      </c>
      <c r="C14" s="144" t="s">
        <v>122</v>
      </c>
      <c r="D14" s="146">
        <v>42539</v>
      </c>
      <c r="E14" s="144" t="s">
        <v>269</v>
      </c>
      <c r="F14" s="144" t="s">
        <v>261</v>
      </c>
      <c r="G14" s="144" t="s">
        <v>211</v>
      </c>
      <c r="H14" s="144">
        <v>40</v>
      </c>
      <c r="I14" s="144">
        <v>140</v>
      </c>
      <c r="J14" s="144">
        <v>144</v>
      </c>
      <c r="K14" s="144">
        <v>36</v>
      </c>
      <c r="L14" s="144" t="s">
        <v>207</v>
      </c>
      <c r="M14" s="144" t="s">
        <v>207</v>
      </c>
      <c r="N14" s="147">
        <v>4.3250000000000002</v>
      </c>
      <c r="O14" s="147">
        <v>0.66661458129866713</v>
      </c>
      <c r="P14" s="144" t="s">
        <v>208</v>
      </c>
      <c r="Q14" s="144" t="s">
        <v>207</v>
      </c>
      <c r="R14" s="144" t="s">
        <v>207</v>
      </c>
      <c r="S14" s="144" t="s">
        <v>207</v>
      </c>
      <c r="T14" s="144" t="s">
        <v>207</v>
      </c>
      <c r="U14" s="144" t="s">
        <v>207</v>
      </c>
      <c r="V14" s="144" t="s">
        <v>207</v>
      </c>
      <c r="W14" s="144" t="s">
        <v>207</v>
      </c>
      <c r="X14" s="144" t="s">
        <v>207</v>
      </c>
      <c r="Y14" s="144" t="s">
        <v>207</v>
      </c>
      <c r="Z14" s="144" t="s">
        <v>207</v>
      </c>
    </row>
    <row r="15" spans="1:26" ht="22.5" x14ac:dyDescent="0.45">
      <c r="A15" s="144"/>
      <c r="B15" s="145">
        <v>2</v>
      </c>
      <c r="C15" s="144" t="s">
        <v>122</v>
      </c>
      <c r="D15" s="146">
        <v>42539</v>
      </c>
      <c r="E15" s="144" t="s">
        <v>269</v>
      </c>
      <c r="F15" s="144" t="s">
        <v>262</v>
      </c>
      <c r="G15" s="144" t="s">
        <v>212</v>
      </c>
      <c r="H15" s="144">
        <v>40</v>
      </c>
      <c r="I15" s="144">
        <v>164</v>
      </c>
      <c r="J15" s="144">
        <v>136</v>
      </c>
      <c r="K15" s="144">
        <v>20</v>
      </c>
      <c r="L15" s="144" t="s">
        <v>207</v>
      </c>
      <c r="M15" s="144" t="s">
        <v>207</v>
      </c>
      <c r="N15" s="147">
        <v>4.45</v>
      </c>
      <c r="O15" s="147">
        <v>0.61032778078668415</v>
      </c>
      <c r="P15" s="144" t="s">
        <v>208</v>
      </c>
      <c r="Q15" s="144" t="s">
        <v>207</v>
      </c>
      <c r="R15" s="144" t="s">
        <v>207</v>
      </c>
      <c r="S15" s="144" t="s">
        <v>207</v>
      </c>
      <c r="T15" s="144" t="s">
        <v>207</v>
      </c>
      <c r="U15" s="144" t="s">
        <v>207</v>
      </c>
      <c r="V15" s="144" t="s">
        <v>207</v>
      </c>
      <c r="W15" s="144" t="s">
        <v>207</v>
      </c>
      <c r="X15" s="144" t="s">
        <v>207</v>
      </c>
      <c r="Y15" s="144" t="s">
        <v>207</v>
      </c>
      <c r="Z15" s="144" t="s">
        <v>207</v>
      </c>
    </row>
    <row r="16" spans="1:26" ht="22.5" x14ac:dyDescent="0.45">
      <c r="A16" s="144"/>
      <c r="B16" s="145">
        <v>2</v>
      </c>
      <c r="C16" s="144" t="s">
        <v>122</v>
      </c>
      <c r="D16" s="146">
        <v>42539</v>
      </c>
      <c r="E16" s="144" t="s">
        <v>269</v>
      </c>
      <c r="F16" s="144" t="s">
        <v>263</v>
      </c>
      <c r="G16" s="144" t="s">
        <v>213</v>
      </c>
      <c r="H16" s="144">
        <v>40</v>
      </c>
      <c r="I16" s="144">
        <v>100</v>
      </c>
      <c r="J16" s="144">
        <v>132</v>
      </c>
      <c r="K16" s="144">
        <v>88</v>
      </c>
      <c r="L16" s="144" t="s">
        <v>207</v>
      </c>
      <c r="M16" s="144" t="s">
        <v>207</v>
      </c>
      <c r="N16" s="147">
        <v>4.0374999999999996</v>
      </c>
      <c r="O16" s="147">
        <v>0.76556759988913026</v>
      </c>
      <c r="P16" s="144" t="s">
        <v>208</v>
      </c>
      <c r="Q16" s="144" t="s">
        <v>207</v>
      </c>
      <c r="R16" s="144" t="s">
        <v>207</v>
      </c>
      <c r="S16" s="144" t="s">
        <v>207</v>
      </c>
      <c r="T16" s="144" t="s">
        <v>207</v>
      </c>
      <c r="U16" s="144" t="s">
        <v>207</v>
      </c>
      <c r="V16" s="144" t="s">
        <v>207</v>
      </c>
      <c r="W16" s="144" t="s">
        <v>207</v>
      </c>
      <c r="X16" s="144" t="s">
        <v>207</v>
      </c>
      <c r="Y16" s="144" t="s">
        <v>207</v>
      </c>
      <c r="Z16" s="144" t="s">
        <v>207</v>
      </c>
    </row>
    <row r="17" spans="1:26" ht="22.5" x14ac:dyDescent="0.45">
      <c r="A17" s="144"/>
      <c r="B17" s="145">
        <v>2</v>
      </c>
      <c r="C17" s="144" t="s">
        <v>122</v>
      </c>
      <c r="D17" s="146">
        <v>42539</v>
      </c>
      <c r="E17" s="144" t="s">
        <v>269</v>
      </c>
      <c r="F17" s="144" t="s">
        <v>264</v>
      </c>
      <c r="G17" s="144" t="s">
        <v>214</v>
      </c>
      <c r="H17" s="144">
        <v>40</v>
      </c>
      <c r="I17" s="144">
        <v>100</v>
      </c>
      <c r="J17" s="144">
        <v>132</v>
      </c>
      <c r="K17" s="144">
        <v>88</v>
      </c>
      <c r="L17" s="144" t="s">
        <v>207</v>
      </c>
      <c r="M17" s="144" t="s">
        <v>207</v>
      </c>
      <c r="N17" s="147">
        <v>4.0374999999999996</v>
      </c>
      <c r="O17" s="147">
        <v>0.76556759988913026</v>
      </c>
      <c r="P17" s="144" t="s">
        <v>208</v>
      </c>
      <c r="Q17" s="144" t="s">
        <v>207</v>
      </c>
      <c r="R17" s="144" t="s">
        <v>207</v>
      </c>
      <c r="S17" s="144" t="s">
        <v>207</v>
      </c>
      <c r="T17" s="144" t="s">
        <v>207</v>
      </c>
      <c r="U17" s="144" t="s">
        <v>207</v>
      </c>
      <c r="V17" s="144" t="s">
        <v>207</v>
      </c>
      <c r="W17" s="144" t="s">
        <v>207</v>
      </c>
      <c r="X17" s="144" t="s">
        <v>207</v>
      </c>
      <c r="Y17" s="144" t="s">
        <v>207</v>
      </c>
      <c r="Z17" s="144" t="s">
        <v>207</v>
      </c>
    </row>
    <row r="18" spans="1:26" ht="22.5" x14ac:dyDescent="0.45">
      <c r="A18" s="144"/>
      <c r="B18" s="145">
        <v>2</v>
      </c>
      <c r="C18" s="144" t="s">
        <v>122</v>
      </c>
      <c r="D18" s="146">
        <v>42539</v>
      </c>
      <c r="E18" s="144" t="s">
        <v>269</v>
      </c>
      <c r="F18" s="144" t="s">
        <v>265</v>
      </c>
      <c r="G18" s="144" t="s">
        <v>215</v>
      </c>
      <c r="H18" s="144">
        <v>40</v>
      </c>
      <c r="I18" s="144">
        <v>164</v>
      </c>
      <c r="J18" s="144">
        <v>136</v>
      </c>
      <c r="K18" s="144">
        <v>20</v>
      </c>
      <c r="L18" s="144" t="s">
        <v>207</v>
      </c>
      <c r="M18" s="144" t="s">
        <v>207</v>
      </c>
      <c r="N18" s="147">
        <v>4.45</v>
      </c>
      <c r="O18" s="147">
        <v>0.61032778078668415</v>
      </c>
      <c r="P18" s="144" t="s">
        <v>208</v>
      </c>
      <c r="Q18" s="144" t="s">
        <v>207</v>
      </c>
      <c r="R18" s="144" t="s">
        <v>207</v>
      </c>
      <c r="S18" s="144" t="s">
        <v>207</v>
      </c>
      <c r="T18" s="144" t="s">
        <v>207</v>
      </c>
      <c r="U18" s="144" t="s">
        <v>207</v>
      </c>
      <c r="V18" s="144" t="s">
        <v>207</v>
      </c>
      <c r="W18" s="144" t="s">
        <v>207</v>
      </c>
      <c r="X18" s="144" t="s">
        <v>207</v>
      </c>
      <c r="Y18" s="144" t="s">
        <v>207</v>
      </c>
      <c r="Z18" s="144" t="s">
        <v>207</v>
      </c>
    </row>
    <row r="19" spans="1:26" ht="22.5" x14ac:dyDescent="0.45">
      <c r="A19" s="144"/>
      <c r="B19" s="145">
        <v>2</v>
      </c>
      <c r="C19" s="144" t="s">
        <v>122</v>
      </c>
      <c r="D19" s="146">
        <v>42539</v>
      </c>
      <c r="E19" s="144" t="s">
        <v>269</v>
      </c>
      <c r="F19" s="144" t="s">
        <v>266</v>
      </c>
      <c r="G19" s="144" t="s">
        <v>216</v>
      </c>
      <c r="H19" s="144">
        <v>40</v>
      </c>
      <c r="I19" s="144">
        <v>140</v>
      </c>
      <c r="J19" s="144">
        <v>144</v>
      </c>
      <c r="K19" s="144">
        <v>36</v>
      </c>
      <c r="L19" s="144" t="s">
        <v>207</v>
      </c>
      <c r="M19" s="144" t="s">
        <v>207</v>
      </c>
      <c r="N19" s="147">
        <v>4.3250000000000002</v>
      </c>
      <c r="O19" s="147">
        <v>0.66661458129866713</v>
      </c>
      <c r="P19" s="144" t="s">
        <v>208</v>
      </c>
      <c r="Q19" s="144" t="s">
        <v>207</v>
      </c>
      <c r="R19" s="144" t="s">
        <v>207</v>
      </c>
      <c r="S19" s="144" t="s">
        <v>207</v>
      </c>
      <c r="T19" s="144" t="s">
        <v>207</v>
      </c>
      <c r="U19" s="144" t="s">
        <v>207</v>
      </c>
      <c r="V19" s="144" t="s">
        <v>207</v>
      </c>
      <c r="W19" s="144" t="s">
        <v>207</v>
      </c>
      <c r="X19" s="144" t="s">
        <v>207</v>
      </c>
      <c r="Y19" s="144" t="s">
        <v>207</v>
      </c>
      <c r="Z19" s="144" t="s">
        <v>207</v>
      </c>
    </row>
    <row r="20" spans="1:26" ht="22.5" x14ac:dyDescent="0.45">
      <c r="A20" s="144"/>
      <c r="B20" s="145">
        <v>2</v>
      </c>
      <c r="C20" s="144" t="s">
        <v>122</v>
      </c>
      <c r="D20" s="146">
        <v>42539</v>
      </c>
      <c r="E20" s="144" t="s">
        <v>269</v>
      </c>
      <c r="F20" s="144" t="s">
        <v>267</v>
      </c>
      <c r="G20" s="144" t="s">
        <v>217</v>
      </c>
      <c r="H20" s="144">
        <v>40</v>
      </c>
      <c r="I20" s="144">
        <v>108</v>
      </c>
      <c r="J20" s="144">
        <v>120</v>
      </c>
      <c r="K20" s="144">
        <v>92</v>
      </c>
      <c r="L20" s="144" t="s">
        <v>207</v>
      </c>
      <c r="M20" s="144" t="s">
        <v>207</v>
      </c>
      <c r="N20" s="147">
        <v>4.05</v>
      </c>
      <c r="O20" s="147">
        <v>0.78898669190297421</v>
      </c>
      <c r="P20" s="144" t="s">
        <v>208</v>
      </c>
      <c r="Q20" s="144" t="s">
        <v>207</v>
      </c>
      <c r="R20" s="144" t="s">
        <v>207</v>
      </c>
      <c r="S20" s="144" t="s">
        <v>207</v>
      </c>
      <c r="T20" s="144" t="s">
        <v>207</v>
      </c>
      <c r="U20" s="144" t="s">
        <v>207</v>
      </c>
      <c r="V20" s="144" t="s">
        <v>207</v>
      </c>
      <c r="W20" s="144" t="s">
        <v>207</v>
      </c>
      <c r="X20" s="144" t="s">
        <v>207</v>
      </c>
      <c r="Y20" s="144" t="s">
        <v>207</v>
      </c>
      <c r="Z20" s="144" t="s">
        <v>207</v>
      </c>
    </row>
    <row r="21" spans="1:26" ht="22.5" x14ac:dyDescent="0.45">
      <c r="A21" s="144"/>
      <c r="B21" s="145">
        <v>2</v>
      </c>
      <c r="C21" s="144" t="s">
        <v>122</v>
      </c>
      <c r="D21" s="146">
        <v>42539</v>
      </c>
      <c r="E21" s="144" t="s">
        <v>269</v>
      </c>
      <c r="F21" s="144" t="s">
        <v>268</v>
      </c>
      <c r="G21" s="144" t="s">
        <v>218</v>
      </c>
      <c r="H21" s="144">
        <v>40</v>
      </c>
      <c r="I21" s="144">
        <v>156</v>
      </c>
      <c r="J21" s="144">
        <v>76</v>
      </c>
      <c r="K21" s="144">
        <v>88</v>
      </c>
      <c r="L21" s="144" t="s">
        <v>207</v>
      </c>
      <c r="M21" s="144" t="s">
        <v>207</v>
      </c>
      <c r="N21" s="147">
        <v>4.2125000000000004</v>
      </c>
      <c r="O21" s="147">
        <v>0.84696148082424283</v>
      </c>
      <c r="P21" s="144" t="s">
        <v>208</v>
      </c>
      <c r="Q21" s="144" t="s">
        <v>207</v>
      </c>
      <c r="R21" s="144" t="s">
        <v>207</v>
      </c>
      <c r="S21" s="144" t="s">
        <v>207</v>
      </c>
      <c r="T21" s="144" t="s">
        <v>207</v>
      </c>
      <c r="U21" s="144" t="s">
        <v>207</v>
      </c>
      <c r="V21" s="144" t="s">
        <v>207</v>
      </c>
      <c r="W21" s="144" t="s">
        <v>207</v>
      </c>
      <c r="X21" s="144" t="s">
        <v>207</v>
      </c>
      <c r="Y21" s="144" t="s">
        <v>207</v>
      </c>
      <c r="Z21" s="144" t="s">
        <v>207</v>
      </c>
    </row>
    <row r="22" spans="1:26" ht="22.5" x14ac:dyDescent="0.45">
      <c r="A22" s="144"/>
      <c r="B22" s="145">
        <v>3.0000000000000004</v>
      </c>
      <c r="C22" s="144" t="s">
        <v>122</v>
      </c>
      <c r="D22" s="146">
        <v>42539</v>
      </c>
      <c r="E22" s="144" t="s">
        <v>269</v>
      </c>
      <c r="F22" s="144" t="s">
        <v>259</v>
      </c>
      <c r="G22" s="144" t="s">
        <v>209</v>
      </c>
      <c r="H22" s="144">
        <v>40</v>
      </c>
      <c r="I22" s="144">
        <v>156</v>
      </c>
      <c r="J22" s="144">
        <v>76</v>
      </c>
      <c r="K22" s="144">
        <v>88</v>
      </c>
      <c r="L22" s="144" t="s">
        <v>207</v>
      </c>
      <c r="M22" s="144" t="s">
        <v>207</v>
      </c>
      <c r="N22" s="147">
        <v>4.2125000000000004</v>
      </c>
      <c r="O22" s="147">
        <v>0.84696148082424283</v>
      </c>
      <c r="P22" s="144" t="s">
        <v>208</v>
      </c>
      <c r="Q22" s="144" t="s">
        <v>207</v>
      </c>
      <c r="R22" s="144" t="s">
        <v>207</v>
      </c>
      <c r="S22" s="144" t="s">
        <v>207</v>
      </c>
      <c r="T22" s="144" t="s">
        <v>207</v>
      </c>
      <c r="U22" s="144" t="s">
        <v>207</v>
      </c>
      <c r="V22" s="144" t="s">
        <v>207</v>
      </c>
      <c r="W22" s="144" t="s">
        <v>207</v>
      </c>
      <c r="X22" s="144" t="s">
        <v>207</v>
      </c>
      <c r="Y22" s="144" t="s">
        <v>207</v>
      </c>
      <c r="Z22" s="144" t="s">
        <v>207</v>
      </c>
    </row>
    <row r="23" spans="1:26" ht="22.5" x14ac:dyDescent="0.45">
      <c r="A23" s="144"/>
      <c r="B23" s="145">
        <v>3.0000000000000004</v>
      </c>
      <c r="C23" s="144" t="s">
        <v>122</v>
      </c>
      <c r="D23" s="146">
        <v>42539</v>
      </c>
      <c r="E23" s="144" t="s">
        <v>269</v>
      </c>
      <c r="F23" s="144" t="s">
        <v>260</v>
      </c>
      <c r="G23" s="144" t="s">
        <v>210</v>
      </c>
      <c r="H23" s="144">
        <v>40</v>
      </c>
      <c r="I23" s="144">
        <v>108</v>
      </c>
      <c r="J23" s="144">
        <v>120</v>
      </c>
      <c r="K23" s="144">
        <v>92</v>
      </c>
      <c r="L23" s="144" t="s">
        <v>207</v>
      </c>
      <c r="M23" s="144" t="s">
        <v>207</v>
      </c>
      <c r="N23" s="147">
        <v>4.05</v>
      </c>
      <c r="O23" s="147">
        <v>0.78898669190297421</v>
      </c>
      <c r="P23" s="144" t="s">
        <v>208</v>
      </c>
      <c r="Q23" s="144" t="s">
        <v>207</v>
      </c>
      <c r="R23" s="144" t="s">
        <v>207</v>
      </c>
      <c r="S23" s="144" t="s">
        <v>207</v>
      </c>
      <c r="T23" s="144" t="s">
        <v>207</v>
      </c>
      <c r="U23" s="144" t="s">
        <v>207</v>
      </c>
      <c r="V23" s="144" t="s">
        <v>207</v>
      </c>
      <c r="W23" s="144" t="s">
        <v>207</v>
      </c>
      <c r="X23" s="144" t="s">
        <v>207</v>
      </c>
      <c r="Y23" s="144" t="s">
        <v>207</v>
      </c>
      <c r="Z23" s="144" t="s">
        <v>207</v>
      </c>
    </row>
    <row r="24" spans="1:26" ht="22.5" x14ac:dyDescent="0.45">
      <c r="A24" s="144"/>
      <c r="B24" s="145">
        <v>3.0000000000000004</v>
      </c>
      <c r="C24" s="144" t="s">
        <v>122</v>
      </c>
      <c r="D24" s="146">
        <v>42539</v>
      </c>
      <c r="E24" s="144" t="s">
        <v>269</v>
      </c>
      <c r="F24" s="144" t="s">
        <v>261</v>
      </c>
      <c r="G24" s="144" t="s">
        <v>211</v>
      </c>
      <c r="H24" s="144">
        <v>40</v>
      </c>
      <c r="I24" s="144">
        <v>140</v>
      </c>
      <c r="J24" s="144">
        <v>144</v>
      </c>
      <c r="K24" s="144">
        <v>36</v>
      </c>
      <c r="L24" s="144" t="s">
        <v>207</v>
      </c>
      <c r="M24" s="144" t="s">
        <v>207</v>
      </c>
      <c r="N24" s="147">
        <v>4.3250000000000002</v>
      </c>
      <c r="O24" s="147">
        <v>0.66661458129866713</v>
      </c>
      <c r="P24" s="144" t="s">
        <v>208</v>
      </c>
      <c r="Q24" s="144" t="s">
        <v>207</v>
      </c>
      <c r="R24" s="144" t="s">
        <v>207</v>
      </c>
      <c r="S24" s="144" t="s">
        <v>207</v>
      </c>
      <c r="T24" s="144" t="s">
        <v>207</v>
      </c>
      <c r="U24" s="144" t="s">
        <v>207</v>
      </c>
      <c r="V24" s="144" t="s">
        <v>207</v>
      </c>
      <c r="W24" s="144" t="s">
        <v>207</v>
      </c>
      <c r="X24" s="144" t="s">
        <v>207</v>
      </c>
      <c r="Y24" s="144" t="s">
        <v>207</v>
      </c>
      <c r="Z24" s="144" t="s">
        <v>207</v>
      </c>
    </row>
    <row r="25" spans="1:26" ht="22.5" x14ac:dyDescent="0.45">
      <c r="A25" s="144"/>
      <c r="B25" s="145">
        <v>3.0000000000000004</v>
      </c>
      <c r="C25" s="144" t="s">
        <v>122</v>
      </c>
      <c r="D25" s="146">
        <v>42539</v>
      </c>
      <c r="E25" s="144" t="s">
        <v>269</v>
      </c>
      <c r="F25" s="144" t="s">
        <v>262</v>
      </c>
      <c r="G25" s="144" t="s">
        <v>212</v>
      </c>
      <c r="H25" s="144">
        <v>40</v>
      </c>
      <c r="I25" s="144">
        <v>164</v>
      </c>
      <c r="J25" s="144">
        <v>136</v>
      </c>
      <c r="K25" s="144">
        <v>20</v>
      </c>
      <c r="L25" s="144" t="s">
        <v>207</v>
      </c>
      <c r="M25" s="144" t="s">
        <v>207</v>
      </c>
      <c r="N25" s="147">
        <v>4.45</v>
      </c>
      <c r="O25" s="147">
        <v>0.61032778078668415</v>
      </c>
      <c r="P25" s="144" t="s">
        <v>208</v>
      </c>
      <c r="Q25" s="144" t="s">
        <v>207</v>
      </c>
      <c r="R25" s="144" t="s">
        <v>207</v>
      </c>
      <c r="S25" s="144" t="s">
        <v>207</v>
      </c>
      <c r="T25" s="144" t="s">
        <v>207</v>
      </c>
      <c r="U25" s="144" t="s">
        <v>207</v>
      </c>
      <c r="V25" s="144" t="s">
        <v>207</v>
      </c>
      <c r="W25" s="144" t="s">
        <v>207</v>
      </c>
      <c r="X25" s="144" t="s">
        <v>207</v>
      </c>
      <c r="Y25" s="144" t="s">
        <v>207</v>
      </c>
      <c r="Z25" s="144" t="s">
        <v>207</v>
      </c>
    </row>
    <row r="26" spans="1:26" ht="22.5" x14ac:dyDescent="0.45">
      <c r="A26" s="144"/>
      <c r="B26" s="145">
        <v>3.0000000000000004</v>
      </c>
      <c r="C26" s="144" t="s">
        <v>122</v>
      </c>
      <c r="D26" s="146">
        <v>42539</v>
      </c>
      <c r="E26" s="144" t="s">
        <v>269</v>
      </c>
      <c r="F26" s="144" t="s">
        <v>263</v>
      </c>
      <c r="G26" s="144" t="s">
        <v>213</v>
      </c>
      <c r="H26" s="144">
        <v>40</v>
      </c>
      <c r="I26" s="144">
        <v>100</v>
      </c>
      <c r="J26" s="144">
        <v>132</v>
      </c>
      <c r="K26" s="144">
        <v>88</v>
      </c>
      <c r="L26" s="144" t="s">
        <v>207</v>
      </c>
      <c r="M26" s="144" t="s">
        <v>207</v>
      </c>
      <c r="N26" s="147">
        <v>4.0374999999999996</v>
      </c>
      <c r="O26" s="147">
        <v>0.76556759988913026</v>
      </c>
      <c r="P26" s="144" t="s">
        <v>208</v>
      </c>
      <c r="Q26" s="144" t="s">
        <v>207</v>
      </c>
      <c r="R26" s="144" t="s">
        <v>207</v>
      </c>
      <c r="S26" s="144" t="s">
        <v>207</v>
      </c>
      <c r="T26" s="144" t="s">
        <v>207</v>
      </c>
      <c r="U26" s="144" t="s">
        <v>207</v>
      </c>
      <c r="V26" s="144" t="s">
        <v>207</v>
      </c>
      <c r="W26" s="144" t="s">
        <v>207</v>
      </c>
      <c r="X26" s="144" t="s">
        <v>207</v>
      </c>
      <c r="Y26" s="144" t="s">
        <v>207</v>
      </c>
      <c r="Z26" s="144" t="s">
        <v>207</v>
      </c>
    </row>
    <row r="27" spans="1:26" ht="22.5" x14ac:dyDescent="0.45">
      <c r="A27" s="144"/>
      <c r="B27" s="145">
        <v>3.0000000000000004</v>
      </c>
      <c r="C27" s="144" t="s">
        <v>122</v>
      </c>
      <c r="D27" s="146">
        <v>42539</v>
      </c>
      <c r="E27" s="144" t="s">
        <v>269</v>
      </c>
      <c r="F27" s="144" t="s">
        <v>264</v>
      </c>
      <c r="G27" s="144" t="s">
        <v>214</v>
      </c>
      <c r="H27" s="144">
        <v>40</v>
      </c>
      <c r="I27" s="144">
        <v>100</v>
      </c>
      <c r="J27" s="144">
        <v>132</v>
      </c>
      <c r="K27" s="144">
        <v>88</v>
      </c>
      <c r="L27" s="144" t="s">
        <v>207</v>
      </c>
      <c r="M27" s="144" t="s">
        <v>207</v>
      </c>
      <c r="N27" s="147">
        <v>4.0374999999999996</v>
      </c>
      <c r="O27" s="147">
        <v>0.76556759988913026</v>
      </c>
      <c r="P27" s="144" t="s">
        <v>208</v>
      </c>
      <c r="Q27" s="144" t="s">
        <v>207</v>
      </c>
      <c r="R27" s="144" t="s">
        <v>207</v>
      </c>
      <c r="S27" s="144" t="s">
        <v>207</v>
      </c>
      <c r="T27" s="144" t="s">
        <v>207</v>
      </c>
      <c r="U27" s="144" t="s">
        <v>207</v>
      </c>
      <c r="V27" s="144" t="s">
        <v>207</v>
      </c>
      <c r="W27" s="144" t="s">
        <v>207</v>
      </c>
      <c r="X27" s="144" t="s">
        <v>207</v>
      </c>
      <c r="Y27" s="144" t="s">
        <v>207</v>
      </c>
      <c r="Z27" s="144" t="s">
        <v>207</v>
      </c>
    </row>
    <row r="28" spans="1:26" ht="22.5" x14ac:dyDescent="0.45">
      <c r="A28" s="144"/>
      <c r="B28" s="145">
        <v>3.0000000000000004</v>
      </c>
      <c r="C28" s="144" t="s">
        <v>122</v>
      </c>
      <c r="D28" s="146">
        <v>42539</v>
      </c>
      <c r="E28" s="144" t="s">
        <v>269</v>
      </c>
      <c r="F28" s="144" t="s">
        <v>265</v>
      </c>
      <c r="G28" s="144" t="s">
        <v>215</v>
      </c>
      <c r="H28" s="144">
        <v>40</v>
      </c>
      <c r="I28" s="144">
        <v>164</v>
      </c>
      <c r="J28" s="144">
        <v>136</v>
      </c>
      <c r="K28" s="144">
        <v>20</v>
      </c>
      <c r="L28" s="144" t="s">
        <v>207</v>
      </c>
      <c r="M28" s="144" t="s">
        <v>207</v>
      </c>
      <c r="N28" s="147">
        <v>4.45</v>
      </c>
      <c r="O28" s="147">
        <v>0.61032778078668415</v>
      </c>
      <c r="P28" s="144" t="s">
        <v>208</v>
      </c>
      <c r="Q28" s="144" t="s">
        <v>207</v>
      </c>
      <c r="R28" s="144" t="s">
        <v>207</v>
      </c>
      <c r="S28" s="144" t="s">
        <v>207</v>
      </c>
      <c r="T28" s="144" t="s">
        <v>207</v>
      </c>
      <c r="U28" s="144" t="s">
        <v>207</v>
      </c>
      <c r="V28" s="144" t="s">
        <v>207</v>
      </c>
      <c r="W28" s="144" t="s">
        <v>207</v>
      </c>
      <c r="X28" s="144" t="s">
        <v>207</v>
      </c>
      <c r="Y28" s="144" t="s">
        <v>207</v>
      </c>
      <c r="Z28" s="144" t="s">
        <v>207</v>
      </c>
    </row>
    <row r="29" spans="1:26" ht="22.5" x14ac:dyDescent="0.45">
      <c r="A29" s="144"/>
      <c r="B29" s="145">
        <v>3.0000000000000004</v>
      </c>
      <c r="C29" s="144" t="s">
        <v>122</v>
      </c>
      <c r="D29" s="146">
        <v>42539</v>
      </c>
      <c r="E29" s="144" t="s">
        <v>269</v>
      </c>
      <c r="F29" s="144" t="s">
        <v>266</v>
      </c>
      <c r="G29" s="144" t="s">
        <v>216</v>
      </c>
      <c r="H29" s="144">
        <v>40</v>
      </c>
      <c r="I29" s="144">
        <v>140</v>
      </c>
      <c r="J29" s="144">
        <v>144</v>
      </c>
      <c r="K29" s="144">
        <v>36</v>
      </c>
      <c r="L29" s="144" t="s">
        <v>207</v>
      </c>
      <c r="M29" s="144" t="s">
        <v>207</v>
      </c>
      <c r="N29" s="147">
        <v>4.3250000000000002</v>
      </c>
      <c r="O29" s="147">
        <v>0.66661458129866713</v>
      </c>
      <c r="P29" s="144" t="s">
        <v>208</v>
      </c>
      <c r="Q29" s="144" t="s">
        <v>207</v>
      </c>
      <c r="R29" s="144" t="s">
        <v>207</v>
      </c>
      <c r="S29" s="144" t="s">
        <v>207</v>
      </c>
      <c r="T29" s="144" t="s">
        <v>207</v>
      </c>
      <c r="U29" s="144" t="s">
        <v>207</v>
      </c>
      <c r="V29" s="144" t="s">
        <v>207</v>
      </c>
      <c r="W29" s="144" t="s">
        <v>207</v>
      </c>
      <c r="X29" s="144" t="s">
        <v>207</v>
      </c>
      <c r="Y29" s="144" t="s">
        <v>207</v>
      </c>
      <c r="Z29" s="144" t="s">
        <v>207</v>
      </c>
    </row>
    <row r="30" spans="1:26" ht="22.5" x14ac:dyDescent="0.45">
      <c r="A30" s="144"/>
      <c r="B30" s="145">
        <v>3.0000000000000004</v>
      </c>
      <c r="C30" s="144" t="s">
        <v>122</v>
      </c>
      <c r="D30" s="146">
        <v>42539</v>
      </c>
      <c r="E30" s="144" t="s">
        <v>269</v>
      </c>
      <c r="F30" s="144" t="s">
        <v>267</v>
      </c>
      <c r="G30" s="144" t="s">
        <v>217</v>
      </c>
      <c r="H30" s="144">
        <v>40</v>
      </c>
      <c r="I30" s="144">
        <v>108</v>
      </c>
      <c r="J30" s="144">
        <v>120</v>
      </c>
      <c r="K30" s="144">
        <v>92</v>
      </c>
      <c r="L30" s="144" t="s">
        <v>207</v>
      </c>
      <c r="M30" s="144" t="s">
        <v>207</v>
      </c>
      <c r="N30" s="147">
        <v>4.05</v>
      </c>
      <c r="O30" s="147">
        <v>0.78898669190297421</v>
      </c>
      <c r="P30" s="144" t="s">
        <v>208</v>
      </c>
      <c r="Q30" s="144" t="s">
        <v>207</v>
      </c>
      <c r="R30" s="144" t="s">
        <v>207</v>
      </c>
      <c r="S30" s="144" t="s">
        <v>207</v>
      </c>
      <c r="T30" s="144" t="s">
        <v>207</v>
      </c>
      <c r="U30" s="144" t="s">
        <v>207</v>
      </c>
      <c r="V30" s="144" t="s">
        <v>207</v>
      </c>
      <c r="W30" s="144" t="s">
        <v>207</v>
      </c>
      <c r="X30" s="144" t="s">
        <v>207</v>
      </c>
      <c r="Y30" s="144" t="s">
        <v>207</v>
      </c>
      <c r="Z30" s="144" t="s">
        <v>207</v>
      </c>
    </row>
    <row r="31" spans="1:26" ht="22.5" x14ac:dyDescent="0.45">
      <c r="A31" s="144"/>
      <c r="B31" s="145">
        <v>3.0000000000000004</v>
      </c>
      <c r="C31" s="144" t="s">
        <v>122</v>
      </c>
      <c r="D31" s="146">
        <v>42539</v>
      </c>
      <c r="E31" s="144" t="s">
        <v>269</v>
      </c>
      <c r="F31" s="144" t="s">
        <v>268</v>
      </c>
      <c r="G31" s="144" t="s">
        <v>218</v>
      </c>
      <c r="H31" s="144">
        <v>40</v>
      </c>
      <c r="I31" s="144">
        <v>156</v>
      </c>
      <c r="J31" s="144">
        <v>76</v>
      </c>
      <c r="K31" s="144">
        <v>88</v>
      </c>
      <c r="L31" s="144" t="s">
        <v>207</v>
      </c>
      <c r="M31" s="144" t="s">
        <v>207</v>
      </c>
      <c r="N31" s="147">
        <v>4.2125000000000004</v>
      </c>
      <c r="O31" s="147">
        <v>0.84696148082424283</v>
      </c>
      <c r="P31" s="144" t="s">
        <v>208</v>
      </c>
      <c r="Q31" s="144" t="s">
        <v>207</v>
      </c>
      <c r="R31" s="144" t="s">
        <v>207</v>
      </c>
      <c r="S31" s="144" t="s">
        <v>207</v>
      </c>
      <c r="T31" s="144" t="s">
        <v>207</v>
      </c>
      <c r="U31" s="144" t="s">
        <v>207</v>
      </c>
      <c r="V31" s="144" t="s">
        <v>207</v>
      </c>
      <c r="W31" s="144" t="s">
        <v>207</v>
      </c>
      <c r="X31" s="144" t="s">
        <v>207</v>
      </c>
      <c r="Y31" s="144" t="s">
        <v>207</v>
      </c>
      <c r="Z31" s="144" t="s">
        <v>207</v>
      </c>
    </row>
    <row r="32" spans="1:26" ht="22.5" x14ac:dyDescent="0.45">
      <c r="A32" s="144"/>
      <c r="B32" s="145">
        <v>4.0000000000000018</v>
      </c>
      <c r="C32" s="144" t="s">
        <v>122</v>
      </c>
      <c r="D32" s="146">
        <v>42539</v>
      </c>
      <c r="E32" s="144" t="s">
        <v>269</v>
      </c>
      <c r="F32" s="144" t="s">
        <v>259</v>
      </c>
      <c r="G32" s="144" t="s">
        <v>209</v>
      </c>
      <c r="H32" s="144">
        <v>40</v>
      </c>
      <c r="I32" s="144">
        <v>156</v>
      </c>
      <c r="J32" s="144">
        <v>76</v>
      </c>
      <c r="K32" s="144">
        <v>88</v>
      </c>
      <c r="L32" s="144" t="s">
        <v>207</v>
      </c>
      <c r="M32" s="144" t="s">
        <v>207</v>
      </c>
      <c r="N32" s="147">
        <v>4.2125000000000004</v>
      </c>
      <c r="O32" s="147">
        <v>0.84696148082424283</v>
      </c>
      <c r="P32" s="144" t="s">
        <v>208</v>
      </c>
      <c r="Q32" s="144" t="s">
        <v>207</v>
      </c>
      <c r="R32" s="144" t="s">
        <v>207</v>
      </c>
      <c r="S32" s="144" t="s">
        <v>207</v>
      </c>
      <c r="T32" s="144" t="s">
        <v>207</v>
      </c>
      <c r="U32" s="144" t="s">
        <v>207</v>
      </c>
      <c r="V32" s="144" t="s">
        <v>207</v>
      </c>
      <c r="W32" s="144" t="s">
        <v>207</v>
      </c>
      <c r="X32" s="144" t="s">
        <v>207</v>
      </c>
      <c r="Y32" s="144" t="s">
        <v>207</v>
      </c>
      <c r="Z32" s="144" t="s">
        <v>207</v>
      </c>
    </row>
    <row r="33" spans="1:26" ht="22.5" x14ac:dyDescent="0.45">
      <c r="A33" s="144"/>
      <c r="B33" s="145">
        <v>4.0000000000000018</v>
      </c>
      <c r="C33" s="144" t="s">
        <v>122</v>
      </c>
      <c r="D33" s="146">
        <v>42539</v>
      </c>
      <c r="E33" s="144" t="s">
        <v>269</v>
      </c>
      <c r="F33" s="144" t="s">
        <v>260</v>
      </c>
      <c r="G33" s="144" t="s">
        <v>210</v>
      </c>
      <c r="H33" s="144">
        <v>40</v>
      </c>
      <c r="I33" s="144">
        <v>108</v>
      </c>
      <c r="J33" s="144">
        <v>120</v>
      </c>
      <c r="K33" s="144">
        <v>92</v>
      </c>
      <c r="L33" s="144" t="s">
        <v>207</v>
      </c>
      <c r="M33" s="144" t="s">
        <v>207</v>
      </c>
      <c r="N33" s="147">
        <v>4.05</v>
      </c>
      <c r="O33" s="147">
        <v>0.78898669190297421</v>
      </c>
      <c r="P33" s="144" t="s">
        <v>208</v>
      </c>
      <c r="Q33" s="144" t="s">
        <v>207</v>
      </c>
      <c r="R33" s="144" t="s">
        <v>207</v>
      </c>
      <c r="S33" s="144" t="s">
        <v>207</v>
      </c>
      <c r="T33" s="144" t="s">
        <v>207</v>
      </c>
      <c r="U33" s="144" t="s">
        <v>207</v>
      </c>
      <c r="V33" s="144" t="s">
        <v>207</v>
      </c>
      <c r="W33" s="144" t="s">
        <v>207</v>
      </c>
      <c r="X33" s="144" t="s">
        <v>207</v>
      </c>
      <c r="Y33" s="144" t="s">
        <v>207</v>
      </c>
      <c r="Z33" s="144" t="s">
        <v>207</v>
      </c>
    </row>
    <row r="34" spans="1:26" ht="22.5" x14ac:dyDescent="0.45">
      <c r="A34" s="144"/>
      <c r="B34" s="145">
        <v>4.0000000000000018</v>
      </c>
      <c r="C34" s="144" t="s">
        <v>122</v>
      </c>
      <c r="D34" s="146">
        <v>42539</v>
      </c>
      <c r="E34" s="144" t="s">
        <v>269</v>
      </c>
      <c r="F34" s="144" t="s">
        <v>261</v>
      </c>
      <c r="G34" s="144" t="s">
        <v>211</v>
      </c>
      <c r="H34" s="144">
        <v>40</v>
      </c>
      <c r="I34" s="144">
        <v>140</v>
      </c>
      <c r="J34" s="144">
        <v>144</v>
      </c>
      <c r="K34" s="144">
        <v>36</v>
      </c>
      <c r="L34" s="144" t="s">
        <v>207</v>
      </c>
      <c r="M34" s="144" t="s">
        <v>207</v>
      </c>
      <c r="N34" s="147">
        <v>4.3250000000000002</v>
      </c>
      <c r="O34" s="147">
        <v>0.66661458129866713</v>
      </c>
      <c r="P34" s="144" t="s">
        <v>208</v>
      </c>
      <c r="Q34" s="144" t="s">
        <v>207</v>
      </c>
      <c r="R34" s="144" t="s">
        <v>207</v>
      </c>
      <c r="S34" s="144" t="s">
        <v>207</v>
      </c>
      <c r="T34" s="144" t="s">
        <v>207</v>
      </c>
      <c r="U34" s="144" t="s">
        <v>207</v>
      </c>
      <c r="V34" s="144" t="s">
        <v>207</v>
      </c>
      <c r="W34" s="144" t="s">
        <v>207</v>
      </c>
      <c r="X34" s="144" t="s">
        <v>207</v>
      </c>
      <c r="Y34" s="144" t="s">
        <v>207</v>
      </c>
      <c r="Z34" s="144" t="s">
        <v>207</v>
      </c>
    </row>
    <row r="35" spans="1:26" ht="22.5" x14ac:dyDescent="0.45">
      <c r="A35" s="144"/>
      <c r="B35" s="145">
        <v>4.0000000000000018</v>
      </c>
      <c r="C35" s="144" t="s">
        <v>122</v>
      </c>
      <c r="D35" s="146">
        <v>42539</v>
      </c>
      <c r="E35" s="144" t="s">
        <v>269</v>
      </c>
      <c r="F35" s="144" t="s">
        <v>262</v>
      </c>
      <c r="G35" s="144" t="s">
        <v>212</v>
      </c>
      <c r="H35" s="144">
        <v>40</v>
      </c>
      <c r="I35" s="144">
        <v>164</v>
      </c>
      <c r="J35" s="144">
        <v>136</v>
      </c>
      <c r="K35" s="144">
        <v>20</v>
      </c>
      <c r="L35" s="144" t="s">
        <v>207</v>
      </c>
      <c r="M35" s="144" t="s">
        <v>207</v>
      </c>
      <c r="N35" s="147">
        <v>4.45</v>
      </c>
      <c r="O35" s="147">
        <v>0.61032778078668415</v>
      </c>
      <c r="P35" s="144" t="s">
        <v>208</v>
      </c>
      <c r="Q35" s="144" t="s">
        <v>207</v>
      </c>
      <c r="R35" s="144" t="s">
        <v>207</v>
      </c>
      <c r="S35" s="144" t="s">
        <v>207</v>
      </c>
      <c r="T35" s="144" t="s">
        <v>207</v>
      </c>
      <c r="U35" s="144" t="s">
        <v>207</v>
      </c>
      <c r="V35" s="144" t="s">
        <v>207</v>
      </c>
      <c r="W35" s="144" t="s">
        <v>207</v>
      </c>
      <c r="X35" s="144" t="s">
        <v>207</v>
      </c>
      <c r="Y35" s="144" t="s">
        <v>207</v>
      </c>
      <c r="Z35" s="144" t="s">
        <v>207</v>
      </c>
    </row>
    <row r="36" spans="1:26" ht="22.5" x14ac:dyDescent="0.45">
      <c r="A36" s="144"/>
      <c r="B36" s="145">
        <v>4.0000000000000018</v>
      </c>
      <c r="C36" s="144" t="s">
        <v>122</v>
      </c>
      <c r="D36" s="146">
        <v>42539</v>
      </c>
      <c r="E36" s="144" t="s">
        <v>269</v>
      </c>
      <c r="F36" s="144" t="s">
        <v>263</v>
      </c>
      <c r="G36" s="144" t="s">
        <v>213</v>
      </c>
      <c r="H36" s="144">
        <v>40</v>
      </c>
      <c r="I36" s="144">
        <v>100</v>
      </c>
      <c r="J36" s="144">
        <v>132</v>
      </c>
      <c r="K36" s="144">
        <v>88</v>
      </c>
      <c r="L36" s="144" t="s">
        <v>207</v>
      </c>
      <c r="M36" s="144" t="s">
        <v>207</v>
      </c>
      <c r="N36" s="147">
        <v>4.0374999999999996</v>
      </c>
      <c r="O36" s="147">
        <v>0.76556759988913026</v>
      </c>
      <c r="P36" s="144" t="s">
        <v>208</v>
      </c>
      <c r="Q36" s="144" t="s">
        <v>207</v>
      </c>
      <c r="R36" s="144" t="s">
        <v>207</v>
      </c>
      <c r="S36" s="144" t="s">
        <v>207</v>
      </c>
      <c r="T36" s="144" t="s">
        <v>207</v>
      </c>
      <c r="U36" s="144" t="s">
        <v>207</v>
      </c>
      <c r="V36" s="144" t="s">
        <v>207</v>
      </c>
      <c r="W36" s="144" t="s">
        <v>207</v>
      </c>
      <c r="X36" s="144" t="s">
        <v>207</v>
      </c>
      <c r="Y36" s="144" t="s">
        <v>207</v>
      </c>
      <c r="Z36" s="144" t="s">
        <v>207</v>
      </c>
    </row>
    <row r="37" spans="1:26" ht="22.5" x14ac:dyDescent="0.45">
      <c r="A37" s="144"/>
      <c r="B37" s="145">
        <v>4.0000000000000018</v>
      </c>
      <c r="C37" s="144" t="s">
        <v>122</v>
      </c>
      <c r="D37" s="146">
        <v>42539</v>
      </c>
      <c r="E37" s="144" t="s">
        <v>269</v>
      </c>
      <c r="F37" s="144" t="s">
        <v>264</v>
      </c>
      <c r="G37" s="144" t="s">
        <v>214</v>
      </c>
      <c r="H37" s="144">
        <v>40</v>
      </c>
      <c r="I37" s="144">
        <v>100</v>
      </c>
      <c r="J37" s="144">
        <v>132</v>
      </c>
      <c r="K37" s="144">
        <v>88</v>
      </c>
      <c r="L37" s="144" t="s">
        <v>207</v>
      </c>
      <c r="M37" s="144" t="s">
        <v>207</v>
      </c>
      <c r="N37" s="147">
        <v>4.0374999999999996</v>
      </c>
      <c r="O37" s="147">
        <v>0.76556759988913026</v>
      </c>
      <c r="P37" s="144" t="s">
        <v>208</v>
      </c>
      <c r="Q37" s="144" t="s">
        <v>207</v>
      </c>
      <c r="R37" s="144" t="s">
        <v>207</v>
      </c>
      <c r="S37" s="144" t="s">
        <v>207</v>
      </c>
      <c r="T37" s="144" t="s">
        <v>207</v>
      </c>
      <c r="U37" s="144" t="s">
        <v>207</v>
      </c>
      <c r="V37" s="144" t="s">
        <v>207</v>
      </c>
      <c r="W37" s="144" t="s">
        <v>207</v>
      </c>
      <c r="X37" s="144" t="s">
        <v>207</v>
      </c>
      <c r="Y37" s="144" t="s">
        <v>207</v>
      </c>
      <c r="Z37" s="144" t="s">
        <v>207</v>
      </c>
    </row>
    <row r="38" spans="1:26" ht="22.5" x14ac:dyDescent="0.45">
      <c r="A38" s="144"/>
      <c r="B38" s="145">
        <v>4.0000000000000018</v>
      </c>
      <c r="C38" s="144" t="s">
        <v>122</v>
      </c>
      <c r="D38" s="146">
        <v>42539</v>
      </c>
      <c r="E38" s="144" t="s">
        <v>269</v>
      </c>
      <c r="F38" s="144" t="s">
        <v>265</v>
      </c>
      <c r="G38" s="144" t="s">
        <v>215</v>
      </c>
      <c r="H38" s="144">
        <v>40</v>
      </c>
      <c r="I38" s="144">
        <v>164</v>
      </c>
      <c r="J38" s="144">
        <v>136</v>
      </c>
      <c r="K38" s="144">
        <v>20</v>
      </c>
      <c r="L38" s="144" t="s">
        <v>207</v>
      </c>
      <c r="M38" s="144" t="s">
        <v>207</v>
      </c>
      <c r="N38" s="147">
        <v>4.45</v>
      </c>
      <c r="O38" s="147">
        <v>0.61032778078668415</v>
      </c>
      <c r="P38" s="144" t="s">
        <v>208</v>
      </c>
      <c r="Q38" s="144" t="s">
        <v>207</v>
      </c>
      <c r="R38" s="144" t="s">
        <v>207</v>
      </c>
      <c r="S38" s="144" t="s">
        <v>207</v>
      </c>
      <c r="T38" s="144" t="s">
        <v>207</v>
      </c>
      <c r="U38" s="144" t="s">
        <v>207</v>
      </c>
      <c r="V38" s="144" t="s">
        <v>207</v>
      </c>
      <c r="W38" s="144" t="s">
        <v>207</v>
      </c>
      <c r="X38" s="144" t="s">
        <v>207</v>
      </c>
      <c r="Y38" s="144" t="s">
        <v>207</v>
      </c>
      <c r="Z38" s="144" t="s">
        <v>207</v>
      </c>
    </row>
    <row r="39" spans="1:26" ht="22.5" x14ac:dyDescent="0.45">
      <c r="A39" s="144"/>
      <c r="B39" s="145">
        <v>4.0000000000000018</v>
      </c>
      <c r="C39" s="144" t="s">
        <v>122</v>
      </c>
      <c r="D39" s="146">
        <v>42539</v>
      </c>
      <c r="E39" s="144" t="s">
        <v>269</v>
      </c>
      <c r="F39" s="144" t="s">
        <v>266</v>
      </c>
      <c r="G39" s="144" t="s">
        <v>216</v>
      </c>
      <c r="H39" s="144">
        <v>40</v>
      </c>
      <c r="I39" s="144">
        <v>140</v>
      </c>
      <c r="J39" s="144">
        <v>144</v>
      </c>
      <c r="K39" s="144">
        <v>36</v>
      </c>
      <c r="L39" s="144" t="s">
        <v>207</v>
      </c>
      <c r="M39" s="144" t="s">
        <v>207</v>
      </c>
      <c r="N39" s="147">
        <v>4.3250000000000002</v>
      </c>
      <c r="O39" s="147">
        <v>0.66661458129866713</v>
      </c>
      <c r="P39" s="144" t="s">
        <v>208</v>
      </c>
      <c r="Q39" s="144" t="s">
        <v>207</v>
      </c>
      <c r="R39" s="144" t="s">
        <v>207</v>
      </c>
      <c r="S39" s="144" t="s">
        <v>207</v>
      </c>
      <c r="T39" s="144" t="s">
        <v>207</v>
      </c>
      <c r="U39" s="144" t="s">
        <v>207</v>
      </c>
      <c r="V39" s="144" t="s">
        <v>207</v>
      </c>
      <c r="W39" s="144" t="s">
        <v>207</v>
      </c>
      <c r="X39" s="144" t="s">
        <v>207</v>
      </c>
      <c r="Y39" s="144" t="s">
        <v>207</v>
      </c>
      <c r="Z39" s="144" t="s">
        <v>207</v>
      </c>
    </row>
    <row r="40" spans="1:26" ht="22.5" x14ac:dyDescent="0.45">
      <c r="A40" s="144"/>
      <c r="B40" s="145">
        <v>4.0000000000000018</v>
      </c>
      <c r="C40" s="144" t="s">
        <v>122</v>
      </c>
      <c r="D40" s="146">
        <v>42539</v>
      </c>
      <c r="E40" s="144" t="s">
        <v>269</v>
      </c>
      <c r="F40" s="144" t="s">
        <v>267</v>
      </c>
      <c r="G40" s="144" t="s">
        <v>217</v>
      </c>
      <c r="H40" s="144">
        <v>40</v>
      </c>
      <c r="I40" s="144">
        <v>108</v>
      </c>
      <c r="J40" s="144">
        <v>120</v>
      </c>
      <c r="K40" s="144">
        <v>92</v>
      </c>
      <c r="L40" s="144" t="s">
        <v>207</v>
      </c>
      <c r="M40" s="144" t="s">
        <v>207</v>
      </c>
      <c r="N40" s="147">
        <v>4.05</v>
      </c>
      <c r="O40" s="147">
        <v>0.78898669190297421</v>
      </c>
      <c r="P40" s="144" t="s">
        <v>208</v>
      </c>
      <c r="Q40" s="144" t="s">
        <v>207</v>
      </c>
      <c r="R40" s="144" t="s">
        <v>207</v>
      </c>
      <c r="S40" s="144" t="s">
        <v>207</v>
      </c>
      <c r="T40" s="144" t="s">
        <v>207</v>
      </c>
      <c r="U40" s="144" t="s">
        <v>207</v>
      </c>
      <c r="V40" s="144" t="s">
        <v>207</v>
      </c>
      <c r="W40" s="144" t="s">
        <v>207</v>
      </c>
      <c r="X40" s="144" t="s">
        <v>207</v>
      </c>
      <c r="Y40" s="144" t="s">
        <v>207</v>
      </c>
      <c r="Z40" s="144" t="s">
        <v>207</v>
      </c>
    </row>
    <row r="41" spans="1:26" ht="22.5" x14ac:dyDescent="0.45">
      <c r="A41" s="144"/>
      <c r="B41" s="145">
        <v>4.0000000000000018</v>
      </c>
      <c r="C41" s="144" t="s">
        <v>122</v>
      </c>
      <c r="D41" s="146">
        <v>42539</v>
      </c>
      <c r="E41" s="144" t="s">
        <v>269</v>
      </c>
      <c r="F41" s="144" t="s">
        <v>268</v>
      </c>
      <c r="G41" s="144" t="s">
        <v>218</v>
      </c>
      <c r="H41" s="144">
        <v>40</v>
      </c>
      <c r="I41" s="144">
        <v>156</v>
      </c>
      <c r="J41" s="144">
        <v>76</v>
      </c>
      <c r="K41" s="144">
        <v>88</v>
      </c>
      <c r="L41" s="144" t="s">
        <v>207</v>
      </c>
      <c r="M41" s="144" t="s">
        <v>207</v>
      </c>
      <c r="N41" s="147">
        <v>4.2125000000000004</v>
      </c>
      <c r="O41" s="147">
        <v>0.84696148082424283</v>
      </c>
      <c r="P41" s="144" t="s">
        <v>208</v>
      </c>
      <c r="Q41" s="144" t="s">
        <v>207</v>
      </c>
      <c r="R41" s="144" t="s">
        <v>207</v>
      </c>
      <c r="S41" s="144" t="s">
        <v>207</v>
      </c>
      <c r="T41" s="144" t="s">
        <v>207</v>
      </c>
      <c r="U41" s="144" t="s">
        <v>207</v>
      </c>
      <c r="V41" s="144" t="s">
        <v>207</v>
      </c>
      <c r="W41" s="144" t="s">
        <v>207</v>
      </c>
      <c r="X41" s="144" t="s">
        <v>207</v>
      </c>
      <c r="Y41" s="144" t="s">
        <v>207</v>
      </c>
      <c r="Z41" s="144" t="s">
        <v>207</v>
      </c>
    </row>
  </sheetData>
  <pageMargins left="0.7" right="0.7" top="0.75" bottom="0.75" header="0.3" footer="0.3"/>
  <pageSetup paperSize="9" scale="43" orientation="landscape" horizontalDpi="1200" verticalDpi="1200" r:id="rId1"/>
  <colBreaks count="1" manualBreakCount="1">
    <brk id="16" max="1048575" man="1"/>
  </colBreaks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41"/>
  <sheetViews>
    <sheetView topLeftCell="F4" workbookViewId="0">
      <selection activeCell="M3" sqref="M3:P3"/>
    </sheetView>
  </sheetViews>
  <sheetFormatPr defaultRowHeight="23.25" x14ac:dyDescent="0.5"/>
  <cols>
    <col min="1" max="1" width="5.75" style="132" bestFit="1" customWidth="1"/>
    <col min="2" max="2" width="13.875" style="132" bestFit="1" customWidth="1"/>
    <col min="3" max="3" width="12" style="132" bestFit="1" customWidth="1"/>
    <col min="4" max="4" width="8" style="132" bestFit="1" customWidth="1"/>
    <col min="5" max="5" width="12.75" style="132" bestFit="1" customWidth="1"/>
    <col min="6" max="6" width="8.875" style="132" bestFit="1" customWidth="1"/>
    <col min="7" max="7" width="42.875" style="132" bestFit="1" customWidth="1"/>
    <col min="8" max="8" width="12.5" style="132" bestFit="1" customWidth="1"/>
    <col min="9" max="9" width="12.75" style="132" bestFit="1" customWidth="1"/>
    <col min="10" max="10" width="21.25" style="132" bestFit="1" customWidth="1"/>
    <col min="11" max="11" width="9" style="128"/>
    <col min="12" max="12" width="4.125" style="128" customWidth="1"/>
    <col min="13" max="13" width="4.875" style="128" customWidth="1"/>
    <col min="14" max="14" width="23.75" style="128" customWidth="1"/>
    <col min="15" max="15" width="4.75" style="128" customWidth="1"/>
    <col min="16" max="16" width="23.75" style="128" customWidth="1"/>
    <col min="17" max="18" width="9.75" style="128" customWidth="1"/>
    <col min="19" max="16384" width="9" style="128"/>
  </cols>
  <sheetData>
    <row r="1" spans="1:18" x14ac:dyDescent="0.2">
      <c r="A1" s="215" t="s">
        <v>40</v>
      </c>
      <c r="B1" s="215"/>
      <c r="C1" s="215"/>
      <c r="D1" s="215"/>
      <c r="E1" s="215"/>
      <c r="F1" s="215"/>
      <c r="G1" s="215"/>
      <c r="H1" s="215"/>
      <c r="I1" s="215"/>
      <c r="J1" s="215"/>
      <c r="L1" s="216" t="s">
        <v>180</v>
      </c>
      <c r="M1" s="216"/>
      <c r="N1" s="216"/>
      <c r="O1" s="216"/>
      <c r="P1" s="216"/>
      <c r="Q1" s="216"/>
    </row>
    <row r="2" spans="1:18" x14ac:dyDescent="0.2">
      <c r="A2" s="130" t="s">
        <v>37</v>
      </c>
      <c r="B2" s="130" t="s">
        <v>125</v>
      </c>
      <c r="C2" s="130" t="s">
        <v>41</v>
      </c>
      <c r="D2" s="130" t="s">
        <v>38</v>
      </c>
      <c r="E2" s="130" t="s">
        <v>42</v>
      </c>
      <c r="F2" s="130" t="s">
        <v>43</v>
      </c>
      <c r="G2" s="130" t="s">
        <v>39</v>
      </c>
      <c r="H2" s="130" t="s">
        <v>44</v>
      </c>
      <c r="I2" s="130" t="s">
        <v>45</v>
      </c>
      <c r="J2" s="130" t="s">
        <v>46</v>
      </c>
      <c r="L2" s="128" t="s">
        <v>37</v>
      </c>
      <c r="M2" s="131" t="s">
        <v>181</v>
      </c>
      <c r="N2" s="131" t="s">
        <v>182</v>
      </c>
      <c r="O2" s="131" t="s">
        <v>183</v>
      </c>
      <c r="P2" s="131" t="s">
        <v>184</v>
      </c>
      <c r="Q2" s="128" t="s">
        <v>185</v>
      </c>
      <c r="R2" s="128" t="s">
        <v>186</v>
      </c>
    </row>
    <row r="3" spans="1:18" x14ac:dyDescent="0.5">
      <c r="A3" s="130">
        <f t="shared" ref="A3:A41" si="0">ROW(B3)-2</f>
        <v>1</v>
      </c>
      <c r="B3" s="132" t="s">
        <v>129</v>
      </c>
      <c r="D3" s="132" t="s">
        <v>47</v>
      </c>
      <c r="E3" s="132" t="s">
        <v>220</v>
      </c>
      <c r="J3" s="132" t="str">
        <f t="shared" ref="J3:J41" si="1">CONCATENATE("คุณ",D3," ",E3)</f>
        <v>คุณกมลวรรณ ทดสอบ01</v>
      </c>
      <c r="M3" s="131"/>
      <c r="N3" s="131"/>
      <c r="O3" s="131"/>
      <c r="P3" s="131"/>
    </row>
    <row r="4" spans="1:18" x14ac:dyDescent="0.5">
      <c r="A4" s="130">
        <f t="shared" si="0"/>
        <v>2</v>
      </c>
      <c r="B4" s="132" t="s">
        <v>130</v>
      </c>
      <c r="C4" s="133"/>
      <c r="D4" s="133" t="s">
        <v>88</v>
      </c>
      <c r="E4" s="132" t="s">
        <v>221</v>
      </c>
      <c r="F4" s="133"/>
      <c r="G4" s="133"/>
      <c r="H4" s="133"/>
      <c r="I4" s="133"/>
      <c r="J4" s="133" t="str">
        <f t="shared" si="1"/>
        <v>คุณเกษม ทดสอบ02</v>
      </c>
      <c r="M4" s="131"/>
      <c r="N4" s="131"/>
      <c r="O4" s="131"/>
    </row>
    <row r="5" spans="1:18" x14ac:dyDescent="0.5">
      <c r="A5" s="130">
        <f t="shared" si="0"/>
        <v>3</v>
      </c>
      <c r="B5" s="132" t="s">
        <v>131</v>
      </c>
      <c r="D5" s="132" t="s">
        <v>48</v>
      </c>
      <c r="E5" s="132" t="s">
        <v>222</v>
      </c>
      <c r="J5" s="132" t="str">
        <f t="shared" si="1"/>
        <v>คุณเชิดชาย ทดสอบ03</v>
      </c>
      <c r="M5" s="131"/>
      <c r="N5" s="131"/>
      <c r="O5" s="131"/>
    </row>
    <row r="6" spans="1:18" x14ac:dyDescent="0.5">
      <c r="A6" s="130">
        <f t="shared" si="0"/>
        <v>4</v>
      </c>
      <c r="B6" s="132" t="s">
        <v>132</v>
      </c>
      <c r="D6" s="132" t="s">
        <v>49</v>
      </c>
      <c r="E6" s="132" t="s">
        <v>223</v>
      </c>
      <c r="J6" s="132" t="str">
        <f t="shared" si="1"/>
        <v>คุณดุษฎี ทดสอบ04</v>
      </c>
      <c r="M6" s="134"/>
      <c r="N6" s="134"/>
      <c r="O6" s="134"/>
    </row>
    <row r="7" spans="1:18" x14ac:dyDescent="0.5">
      <c r="A7" s="130">
        <f t="shared" si="0"/>
        <v>5</v>
      </c>
      <c r="B7" s="132" t="s">
        <v>133</v>
      </c>
      <c r="C7" s="133"/>
      <c r="D7" s="133" t="s">
        <v>84</v>
      </c>
      <c r="E7" s="132" t="s">
        <v>224</v>
      </c>
      <c r="F7" s="133"/>
      <c r="G7" s="133"/>
      <c r="H7" s="133"/>
      <c r="I7" s="133"/>
      <c r="J7" s="133" t="str">
        <f t="shared" si="1"/>
        <v>คุณถนอม ทดสอบ05</v>
      </c>
      <c r="M7" s="134"/>
      <c r="N7" s="134"/>
      <c r="O7" s="134"/>
    </row>
    <row r="8" spans="1:18" x14ac:dyDescent="0.5">
      <c r="A8" s="130">
        <f t="shared" si="0"/>
        <v>6</v>
      </c>
      <c r="B8" s="132" t="s">
        <v>134</v>
      </c>
      <c r="D8" s="132" t="s">
        <v>78</v>
      </c>
      <c r="E8" s="132" t="s">
        <v>225</v>
      </c>
      <c r="J8" s="132" t="str">
        <f t="shared" si="1"/>
        <v>คุณธัชพล ทดสอบ06</v>
      </c>
      <c r="M8" s="135"/>
      <c r="N8" s="135"/>
      <c r="O8" s="135"/>
    </row>
    <row r="9" spans="1:18" x14ac:dyDescent="0.5">
      <c r="A9" s="130">
        <f t="shared" si="0"/>
        <v>7</v>
      </c>
      <c r="B9" s="132" t="s">
        <v>135</v>
      </c>
      <c r="D9" s="132" t="s">
        <v>50</v>
      </c>
      <c r="E9" s="132" t="s">
        <v>226</v>
      </c>
      <c r="J9" s="132" t="str">
        <f t="shared" si="1"/>
        <v>คุณธำรงค์ ทดสอบ07</v>
      </c>
      <c r="M9" s="135"/>
      <c r="N9" s="135"/>
      <c r="O9" s="135"/>
    </row>
    <row r="10" spans="1:18" x14ac:dyDescent="0.5">
      <c r="A10" s="130">
        <f t="shared" si="0"/>
        <v>8</v>
      </c>
      <c r="B10" s="132" t="s">
        <v>136</v>
      </c>
      <c r="D10" s="132" t="s">
        <v>51</v>
      </c>
      <c r="E10" s="132" t="s">
        <v>227</v>
      </c>
      <c r="J10" s="132" t="str">
        <f t="shared" si="1"/>
        <v>คุณนงนารถ ทดสอบ08</v>
      </c>
      <c r="M10" s="135"/>
      <c r="N10" s="135"/>
      <c r="O10" s="135"/>
    </row>
    <row r="11" spans="1:18" x14ac:dyDescent="0.5">
      <c r="A11" s="130">
        <f t="shared" si="0"/>
        <v>9</v>
      </c>
      <c r="B11" s="132" t="s">
        <v>137</v>
      </c>
      <c r="D11" s="132" t="s">
        <v>52</v>
      </c>
      <c r="E11" s="132" t="s">
        <v>228</v>
      </c>
      <c r="J11" s="132" t="str">
        <f t="shared" si="1"/>
        <v>คุณบุญจฑา ทดสอบ09</v>
      </c>
    </row>
    <row r="12" spans="1:18" x14ac:dyDescent="0.5">
      <c r="A12" s="130">
        <f t="shared" si="0"/>
        <v>10</v>
      </c>
      <c r="B12" s="132" t="s">
        <v>138</v>
      </c>
      <c r="D12" s="132" t="s">
        <v>53</v>
      </c>
      <c r="E12" s="132" t="s">
        <v>229</v>
      </c>
      <c r="J12" s="132" t="str">
        <f t="shared" si="1"/>
        <v>คุณบุญฤทธิ์ ทดสอบ10</v>
      </c>
    </row>
    <row r="13" spans="1:18" x14ac:dyDescent="0.5">
      <c r="A13" s="130">
        <f t="shared" si="0"/>
        <v>11</v>
      </c>
      <c r="B13" s="132" t="s">
        <v>139</v>
      </c>
      <c r="D13" s="132" t="s">
        <v>54</v>
      </c>
      <c r="E13" s="132" t="s">
        <v>230</v>
      </c>
      <c r="J13" s="132" t="str">
        <f t="shared" si="1"/>
        <v>คุณปิ่นแก้ว ทดสอบ11</v>
      </c>
    </row>
    <row r="14" spans="1:18" x14ac:dyDescent="0.5">
      <c r="A14" s="130">
        <f t="shared" si="0"/>
        <v>12</v>
      </c>
      <c r="B14" s="132" t="s">
        <v>140</v>
      </c>
      <c r="C14" s="133"/>
      <c r="D14" s="133" t="s">
        <v>85</v>
      </c>
      <c r="E14" s="132" t="s">
        <v>231</v>
      </c>
      <c r="F14" s="133"/>
      <c r="G14" s="133"/>
      <c r="H14" s="133"/>
      <c r="I14" s="133"/>
      <c r="J14" s="133" t="str">
        <f t="shared" si="1"/>
        <v>คุณพงศ์ศักดิ์ ทดสอบ12</v>
      </c>
    </row>
    <row r="15" spans="1:18" x14ac:dyDescent="0.5">
      <c r="A15" s="130">
        <f t="shared" si="0"/>
        <v>13</v>
      </c>
      <c r="B15" s="132" t="s">
        <v>141</v>
      </c>
      <c r="D15" s="132" t="s">
        <v>55</v>
      </c>
      <c r="E15" s="132" t="s">
        <v>232</v>
      </c>
      <c r="J15" s="132" t="str">
        <f t="shared" si="1"/>
        <v>คุณพันธ์เทพ ทดสอบ13</v>
      </c>
    </row>
    <row r="16" spans="1:18" x14ac:dyDescent="0.5">
      <c r="A16" s="130">
        <f t="shared" si="0"/>
        <v>14</v>
      </c>
      <c r="B16" s="132" t="s">
        <v>142</v>
      </c>
      <c r="D16" s="132" t="s">
        <v>56</v>
      </c>
      <c r="E16" s="132" t="s">
        <v>233</v>
      </c>
      <c r="J16" s="132" t="str">
        <f t="shared" si="1"/>
        <v>คุณพัสกร ทดสอบ14</v>
      </c>
    </row>
    <row r="17" spans="1:10" x14ac:dyDescent="0.5">
      <c r="A17" s="130">
        <f t="shared" si="0"/>
        <v>15</v>
      </c>
      <c r="B17" s="132" t="s">
        <v>143</v>
      </c>
      <c r="D17" s="132" t="s">
        <v>57</v>
      </c>
      <c r="E17" s="132" t="s">
        <v>234</v>
      </c>
      <c r="J17" s="132" t="str">
        <f t="shared" si="1"/>
        <v>คุณพูลศักดิ์ ทดสอบ15</v>
      </c>
    </row>
    <row r="18" spans="1:10" x14ac:dyDescent="0.5">
      <c r="A18" s="130">
        <f t="shared" si="0"/>
        <v>16</v>
      </c>
      <c r="B18" s="132" t="s">
        <v>144</v>
      </c>
      <c r="C18" s="133"/>
      <c r="D18" s="133" t="s">
        <v>87</v>
      </c>
      <c r="E18" s="132" t="s">
        <v>235</v>
      </c>
      <c r="F18" s="133"/>
      <c r="G18" s="133"/>
      <c r="H18" s="133"/>
      <c r="I18" s="133"/>
      <c r="J18" s="133" t="str">
        <f t="shared" si="1"/>
        <v>คุณไฟโรจน์ ทดสอบ16</v>
      </c>
    </row>
    <row r="19" spans="1:10" x14ac:dyDescent="0.5">
      <c r="A19" s="130">
        <f t="shared" si="0"/>
        <v>17</v>
      </c>
      <c r="B19" s="132" t="s">
        <v>145</v>
      </c>
      <c r="D19" s="132" t="s">
        <v>58</v>
      </c>
      <c r="E19" s="132" t="s">
        <v>236</v>
      </c>
      <c r="J19" s="132" t="str">
        <f t="shared" si="1"/>
        <v>คุณมนูญ ทดสอบ17</v>
      </c>
    </row>
    <row r="20" spans="1:10" x14ac:dyDescent="0.5">
      <c r="A20" s="130">
        <f t="shared" si="0"/>
        <v>18</v>
      </c>
      <c r="B20" s="132" t="s">
        <v>146</v>
      </c>
      <c r="D20" s="132" t="s">
        <v>59</v>
      </c>
      <c r="E20" s="132" t="s">
        <v>237</v>
      </c>
      <c r="J20" s="132" t="str">
        <f t="shared" si="1"/>
        <v>คุณมัลลิกา ทดสอบ18</v>
      </c>
    </row>
    <row r="21" spans="1:10" x14ac:dyDescent="0.5">
      <c r="A21" s="130">
        <f t="shared" si="0"/>
        <v>19</v>
      </c>
      <c r="B21" s="132" t="s">
        <v>147</v>
      </c>
      <c r="D21" s="132" t="s">
        <v>60</v>
      </c>
      <c r="E21" s="132" t="s">
        <v>238</v>
      </c>
      <c r="J21" s="132" t="str">
        <f t="shared" si="1"/>
        <v>คุณรุ่งรัศมิ์ ทดสอบ19</v>
      </c>
    </row>
    <row r="22" spans="1:10" x14ac:dyDescent="0.5">
      <c r="A22" s="130">
        <f t="shared" si="0"/>
        <v>20</v>
      </c>
      <c r="B22" s="132" t="s">
        <v>148</v>
      </c>
      <c r="D22" s="132" t="s">
        <v>61</v>
      </c>
      <c r="E22" s="132" t="s">
        <v>239</v>
      </c>
      <c r="J22" s="132" t="str">
        <f t="shared" si="1"/>
        <v>คุณรุ่งเรือง ทดสอบ20</v>
      </c>
    </row>
    <row r="23" spans="1:10" x14ac:dyDescent="0.5">
      <c r="A23" s="130">
        <f t="shared" si="0"/>
        <v>21</v>
      </c>
      <c r="B23" s="132" t="s">
        <v>149</v>
      </c>
      <c r="D23" s="132" t="s">
        <v>62</v>
      </c>
      <c r="E23" s="132" t="s">
        <v>240</v>
      </c>
      <c r="J23" s="132" t="str">
        <f t="shared" si="1"/>
        <v>คุณวรรณี ทดสอบ21</v>
      </c>
    </row>
    <row r="24" spans="1:10" x14ac:dyDescent="0.5">
      <c r="A24" s="130">
        <f t="shared" si="0"/>
        <v>22</v>
      </c>
      <c r="B24" s="132" t="s">
        <v>150</v>
      </c>
      <c r="D24" s="132" t="s">
        <v>63</v>
      </c>
      <c r="E24" s="132" t="s">
        <v>241</v>
      </c>
      <c r="J24" s="132" t="str">
        <f t="shared" si="1"/>
        <v>คุณวันดี ทดสอบ22</v>
      </c>
    </row>
    <row r="25" spans="1:10" x14ac:dyDescent="0.5">
      <c r="A25" s="130">
        <f t="shared" si="0"/>
        <v>23</v>
      </c>
      <c r="B25" s="132" t="s">
        <v>151</v>
      </c>
      <c r="D25" s="132" t="s">
        <v>64</v>
      </c>
      <c r="E25" s="132" t="s">
        <v>242</v>
      </c>
      <c r="J25" s="132" t="str">
        <f t="shared" si="1"/>
        <v>คุณวันมงคล ทดสอบ23</v>
      </c>
    </row>
    <row r="26" spans="1:10" x14ac:dyDescent="0.5">
      <c r="A26" s="130">
        <f t="shared" si="0"/>
        <v>24</v>
      </c>
      <c r="B26" s="132" t="s">
        <v>152</v>
      </c>
      <c r="D26" s="132" t="s">
        <v>65</v>
      </c>
      <c r="E26" s="132" t="s">
        <v>243</v>
      </c>
      <c r="J26" s="132" t="str">
        <f t="shared" si="1"/>
        <v>คุณวารี ทดสอบ24</v>
      </c>
    </row>
    <row r="27" spans="1:10" x14ac:dyDescent="0.5">
      <c r="A27" s="130">
        <f t="shared" si="0"/>
        <v>25</v>
      </c>
      <c r="B27" s="132" t="s">
        <v>153</v>
      </c>
      <c r="D27" s="132" t="s">
        <v>66</v>
      </c>
      <c r="E27" s="132" t="s">
        <v>244</v>
      </c>
      <c r="J27" s="132" t="str">
        <f t="shared" si="1"/>
        <v>คุณวาสนา ทดสอบ25</v>
      </c>
    </row>
    <row r="28" spans="1:10" x14ac:dyDescent="0.5">
      <c r="A28" s="130">
        <f t="shared" si="0"/>
        <v>26</v>
      </c>
      <c r="B28" s="132" t="s">
        <v>154</v>
      </c>
      <c r="D28" s="132" t="s">
        <v>76</v>
      </c>
      <c r="E28" s="132" t="s">
        <v>245</v>
      </c>
      <c r="J28" s="132" t="str">
        <f t="shared" si="1"/>
        <v>คุณวิชัย ทดสอบ26</v>
      </c>
    </row>
    <row r="29" spans="1:10" x14ac:dyDescent="0.5">
      <c r="A29" s="130">
        <f t="shared" si="0"/>
        <v>27</v>
      </c>
      <c r="B29" s="132" t="s">
        <v>155</v>
      </c>
      <c r="D29" s="132" t="s">
        <v>77</v>
      </c>
      <c r="E29" s="132" t="s">
        <v>246</v>
      </c>
      <c r="J29" s="132" t="str">
        <f t="shared" si="1"/>
        <v>คุณวิไล ทดสอบ27</v>
      </c>
    </row>
    <row r="30" spans="1:10" x14ac:dyDescent="0.5">
      <c r="A30" s="130">
        <f t="shared" si="0"/>
        <v>28</v>
      </c>
      <c r="B30" s="132" t="s">
        <v>156</v>
      </c>
      <c r="D30" s="132" t="s">
        <v>67</v>
      </c>
      <c r="E30" s="132" t="s">
        <v>247</v>
      </c>
      <c r="J30" s="132" t="str">
        <f t="shared" si="1"/>
        <v>คุณศศธร ทดสอบ28</v>
      </c>
    </row>
    <row r="31" spans="1:10" x14ac:dyDescent="0.5">
      <c r="A31" s="130">
        <f t="shared" si="0"/>
        <v>29</v>
      </c>
      <c r="B31" s="132" t="s">
        <v>157</v>
      </c>
      <c r="D31" s="132" t="s">
        <v>68</v>
      </c>
      <c r="E31" s="132" t="s">
        <v>248</v>
      </c>
      <c r="J31" s="132" t="str">
        <f t="shared" si="1"/>
        <v>คุณสมชาย ทดสอบ29</v>
      </c>
    </row>
    <row r="32" spans="1:10" x14ac:dyDescent="0.5">
      <c r="A32" s="130">
        <f t="shared" si="0"/>
        <v>30</v>
      </c>
      <c r="B32" s="132" t="s">
        <v>158</v>
      </c>
      <c r="D32" s="132" t="s">
        <v>69</v>
      </c>
      <c r="E32" s="132" t="s">
        <v>249</v>
      </c>
      <c r="J32" s="132" t="str">
        <f t="shared" si="1"/>
        <v>คุณสมพงษ์ ทดสอบ30</v>
      </c>
    </row>
    <row r="33" spans="1:10" x14ac:dyDescent="0.5">
      <c r="A33" s="130">
        <f t="shared" si="0"/>
        <v>31</v>
      </c>
      <c r="B33" s="132" t="s">
        <v>159</v>
      </c>
      <c r="D33" s="132" t="s">
        <v>70</v>
      </c>
      <c r="E33" s="132" t="s">
        <v>250</v>
      </c>
      <c r="J33" s="132" t="str">
        <f t="shared" si="1"/>
        <v>คุณสุพจน์ ทดสอบ31</v>
      </c>
    </row>
    <row r="34" spans="1:10" x14ac:dyDescent="0.5">
      <c r="A34" s="130">
        <f t="shared" si="0"/>
        <v>32</v>
      </c>
      <c r="B34" s="132" t="s">
        <v>160</v>
      </c>
      <c r="C34" s="133"/>
      <c r="D34" s="133" t="s">
        <v>70</v>
      </c>
      <c r="E34" s="132" t="s">
        <v>251</v>
      </c>
      <c r="F34" s="133"/>
      <c r="H34" s="133"/>
      <c r="I34" s="133"/>
      <c r="J34" s="133" t="str">
        <f t="shared" si="1"/>
        <v>คุณสุพจน์ ทดสอบ32</v>
      </c>
    </row>
    <row r="35" spans="1:10" x14ac:dyDescent="0.5">
      <c r="A35" s="130">
        <f t="shared" si="0"/>
        <v>33</v>
      </c>
      <c r="B35" s="132" t="s">
        <v>161</v>
      </c>
      <c r="D35" s="132" t="s">
        <v>71</v>
      </c>
      <c r="E35" s="132" t="s">
        <v>252</v>
      </c>
      <c r="J35" s="132" t="str">
        <f t="shared" si="1"/>
        <v>คุณสุรพงษ์ ทดสอบ33</v>
      </c>
    </row>
    <row r="36" spans="1:10" x14ac:dyDescent="0.5">
      <c r="A36" s="130">
        <f t="shared" si="0"/>
        <v>34</v>
      </c>
      <c r="B36" s="132" t="s">
        <v>162</v>
      </c>
      <c r="C36" s="133"/>
      <c r="D36" s="133" t="s">
        <v>86</v>
      </c>
      <c r="E36" s="132" t="s">
        <v>253</v>
      </c>
      <c r="F36" s="133"/>
      <c r="G36" s="136"/>
      <c r="H36" s="133"/>
      <c r="I36" s="133"/>
      <c r="J36" s="133" t="str">
        <f t="shared" si="1"/>
        <v>คุณเสาวนีย์ ทดสอบ34</v>
      </c>
    </row>
    <row r="37" spans="1:10" x14ac:dyDescent="0.5">
      <c r="A37" s="130">
        <f t="shared" si="0"/>
        <v>35</v>
      </c>
      <c r="B37" s="132" t="s">
        <v>163</v>
      </c>
      <c r="D37" s="132" t="s">
        <v>72</v>
      </c>
      <c r="E37" s="132" t="s">
        <v>254</v>
      </c>
      <c r="J37" s="132" t="str">
        <f t="shared" si="1"/>
        <v>คุณอนันต์ชัย ทดสอบ35</v>
      </c>
    </row>
    <row r="38" spans="1:10" x14ac:dyDescent="0.5">
      <c r="A38" s="130">
        <f t="shared" si="0"/>
        <v>36</v>
      </c>
      <c r="B38" s="132" t="s">
        <v>164</v>
      </c>
      <c r="D38" s="132" t="s">
        <v>73</v>
      </c>
      <c r="E38" s="132" t="s">
        <v>255</v>
      </c>
      <c r="J38" s="132" t="str">
        <f t="shared" si="1"/>
        <v>คุณอัครเดช ทดสอบ36</v>
      </c>
    </row>
    <row r="39" spans="1:10" x14ac:dyDescent="0.5">
      <c r="A39" s="130">
        <f t="shared" si="0"/>
        <v>37</v>
      </c>
      <c r="B39" s="132" t="s">
        <v>165</v>
      </c>
      <c r="D39" s="132" t="s">
        <v>74</v>
      </c>
      <c r="E39" s="132" t="s">
        <v>256</v>
      </c>
      <c r="J39" s="132" t="str">
        <f t="shared" si="1"/>
        <v>คุณอานนท์ ทดสอบ37</v>
      </c>
    </row>
    <row r="40" spans="1:10" x14ac:dyDescent="0.5">
      <c r="A40" s="130">
        <f t="shared" si="0"/>
        <v>38</v>
      </c>
      <c r="B40" s="132" t="s">
        <v>166</v>
      </c>
      <c r="D40" s="132" t="s">
        <v>75</v>
      </c>
      <c r="E40" s="132" t="s">
        <v>257</v>
      </c>
      <c r="J40" s="132" t="str">
        <f t="shared" si="1"/>
        <v>คุณอำนาจ ทดสอบ38</v>
      </c>
    </row>
    <row r="41" spans="1:10" x14ac:dyDescent="0.5">
      <c r="A41" s="130">
        <f t="shared" si="0"/>
        <v>39</v>
      </c>
      <c r="B41" s="132" t="s">
        <v>167</v>
      </c>
      <c r="C41" s="133"/>
      <c r="D41" s="137" t="s">
        <v>206</v>
      </c>
      <c r="E41" s="132" t="s">
        <v>258</v>
      </c>
      <c r="F41" s="133"/>
      <c r="G41" s="137"/>
      <c r="I41" s="133"/>
      <c r="J41" s="133" t="str">
        <f t="shared" si="1"/>
        <v>คุณอ้อ ทดสอบ39</v>
      </c>
    </row>
  </sheetData>
  <mergeCells count="2">
    <mergeCell ref="A1:J1"/>
    <mergeCell ref="L1:Q1"/>
  </mergeCell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'C:\Users\MSI\Desktop\ผลการประเมินปี 59\3\[บปผ.ตว 1 พิษณุโลก.xlsx]Data'!#REF!</xm:f>
          </x14:formula1>
          <xm:sqref>J18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Macro</vt:lpstr>
      <vt:lpstr>ตารางสรุปประเมินความพึงพอใจ</vt:lpstr>
      <vt:lpstr>สรุปวิทยากรตามหลักสูตร</vt:lpstr>
      <vt:lpstr>Sheet4</vt:lpstr>
      <vt:lpstr>Sheet3</vt:lpstr>
      <vt:lpstr>สรุปการประเมินคะแนน</vt:lpstr>
      <vt:lpstr>ข้อมูล</vt:lpstr>
      <vt:lpstr>ClearTable</vt:lpstr>
      <vt:lpstr>ตารางสรุปประเมินความพึงพอใจ!Print_Area</vt:lpstr>
      <vt:lpstr>สรุปวิทยากรตามหลักสูตร!Print_Area</vt:lpstr>
      <vt:lpstr>ตารางสรุปประเมินความพึงพอใจ!Print_Titles</vt:lpstr>
    </vt:vector>
  </TitlesOfParts>
  <Company>The Viriyah Insurance Co.,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sarawutkh</dc:creator>
  <cp:lastModifiedBy>tewa</cp:lastModifiedBy>
  <cp:lastPrinted>2016-08-30T11:27:02Z</cp:lastPrinted>
  <dcterms:created xsi:type="dcterms:W3CDTF">2013-10-08T03:20:23Z</dcterms:created>
  <dcterms:modified xsi:type="dcterms:W3CDTF">2016-09-10T03:43:33Z</dcterms:modified>
</cp:coreProperties>
</file>