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325" windowHeight="9795" tabRatio="770"/>
  </bookViews>
  <sheets>
    <sheet name="Sheet1" sheetId="1" r:id="rId1"/>
    <sheet name="BZ_100" sheetId="3" r:id="rId2"/>
    <sheet name=" BZ_W" sheetId="2" r:id="rId3"/>
    <sheet name="Master" sheetId="6" r:id="rId4"/>
    <sheet name="BZ_RTD" sheetId="5" r:id="rId5"/>
    <sheet name="DataPaste" sheetId="4" r:id="rId6"/>
    <sheet name="Deal" sheetId="7" r:id="rId7"/>
    <sheet name="Vbuy" sheetId="8" r:id="rId8"/>
    <sheet name="Vsell" sheetId="9" r:id="rId9"/>
    <sheet name="Cal" sheetId="10" r:id="rId10"/>
  </sheets>
  <definedNames>
    <definedName name="_xlnm._FilterDatabase" localSheetId="0" hidden="1">Sheet1!$A$3:$AB$3</definedName>
    <definedName name="_xlnm.Print_Titles" localSheetId="0">Sheet1!$1:$3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6" l="1"/>
  <c r="C3" i="6"/>
  <c r="C4" i="6" s="1"/>
  <c r="A1" i="6"/>
  <c r="D3" i="6" l="1"/>
  <c r="D4" i="6"/>
  <c r="C5" i="6"/>
  <c r="M2" i="5"/>
  <c r="C4" i="5"/>
  <c r="F5" i="5"/>
  <c r="I6" i="5"/>
  <c r="L7" i="5"/>
  <c r="B9" i="5"/>
  <c r="E10" i="5"/>
  <c r="H11" i="5"/>
  <c r="K12" i="5"/>
  <c r="A14" i="5"/>
  <c r="D15" i="5"/>
  <c r="G16" i="5"/>
  <c r="J17" i="5"/>
  <c r="M18" i="5"/>
  <c r="A2" i="5"/>
  <c r="D3" i="5"/>
  <c r="G4" i="5"/>
  <c r="J5" i="5"/>
  <c r="M6" i="5"/>
  <c r="C8" i="5"/>
  <c r="F9" i="5"/>
  <c r="I10" i="5"/>
  <c r="L11" i="5"/>
  <c r="B13" i="5"/>
  <c r="E14" i="5"/>
  <c r="H15" i="5"/>
  <c r="K16" i="5"/>
  <c r="A18" i="5"/>
  <c r="D19" i="5"/>
  <c r="E2" i="5"/>
  <c r="H3" i="5"/>
  <c r="K4" i="5"/>
  <c r="A6" i="5"/>
  <c r="D7" i="5"/>
  <c r="G8" i="5"/>
  <c r="J9" i="5"/>
  <c r="M10" i="5"/>
  <c r="C12" i="5"/>
  <c r="F13" i="5"/>
  <c r="I14" i="5"/>
  <c r="L15" i="5"/>
  <c r="B17" i="5"/>
  <c r="E18" i="5"/>
  <c r="H19" i="5"/>
  <c r="E6" i="5"/>
  <c r="D11" i="5"/>
  <c r="C16" i="5"/>
  <c r="C20" i="5"/>
  <c r="F21" i="5"/>
  <c r="I22" i="5"/>
  <c r="L23" i="5"/>
  <c r="B25" i="5"/>
  <c r="E26" i="5"/>
  <c r="H27" i="5"/>
  <c r="K28" i="5"/>
  <c r="A30" i="5"/>
  <c r="D31" i="5"/>
  <c r="G32" i="5"/>
  <c r="J33" i="5"/>
  <c r="M34" i="5"/>
  <c r="C36" i="5"/>
  <c r="F37" i="5"/>
  <c r="I38" i="5"/>
  <c r="L39" i="5"/>
  <c r="B2" i="5"/>
  <c r="E3" i="5"/>
  <c r="H4" i="5"/>
  <c r="K5" i="5"/>
  <c r="A7" i="5"/>
  <c r="D8" i="5"/>
  <c r="G9" i="5"/>
  <c r="J10" i="5"/>
  <c r="M11" i="5"/>
  <c r="C13" i="5"/>
  <c r="F14" i="5"/>
  <c r="I15" i="5"/>
  <c r="L16" i="5"/>
  <c r="B18" i="5"/>
  <c r="E19" i="5"/>
  <c r="H20" i="5"/>
  <c r="K21" i="5"/>
  <c r="A23" i="5"/>
  <c r="D24" i="5"/>
  <c r="G25" i="5"/>
  <c r="J26" i="5"/>
  <c r="M27" i="5"/>
  <c r="C29" i="5"/>
  <c r="F30" i="5"/>
  <c r="I31" i="5"/>
  <c r="L32" i="5"/>
  <c r="B34" i="5"/>
  <c r="E35" i="5"/>
  <c r="H36" i="5"/>
  <c r="G2" i="5"/>
  <c r="J3" i="5"/>
  <c r="M4" i="5"/>
  <c r="C6" i="5"/>
  <c r="F7" i="5"/>
  <c r="I8" i="5"/>
  <c r="D2" i="5"/>
  <c r="C7" i="5"/>
  <c r="L10" i="5"/>
  <c r="E13" i="5"/>
  <c r="K15" i="5"/>
  <c r="D18" i="5"/>
  <c r="J20" i="5"/>
  <c r="C23" i="5"/>
  <c r="I25" i="5"/>
  <c r="B28" i="5"/>
  <c r="H30" i="5"/>
  <c r="K3" i="5"/>
  <c r="J8" i="5"/>
  <c r="J11" i="5"/>
  <c r="C14" i="5"/>
  <c r="I16" i="5"/>
  <c r="B19" i="5"/>
  <c r="H21" i="5"/>
  <c r="A24" i="5"/>
  <c r="G26" i="5"/>
  <c r="M28" i="5"/>
  <c r="F31" i="5"/>
  <c r="L33" i="5"/>
  <c r="E36" i="5"/>
  <c r="D38" i="5"/>
  <c r="M39" i="5"/>
  <c r="F41" i="5"/>
  <c r="I42" i="5"/>
  <c r="L43" i="5"/>
  <c r="B45" i="5"/>
  <c r="E46" i="5"/>
  <c r="H47" i="5"/>
  <c r="K48" i="5"/>
  <c r="A50" i="5"/>
  <c r="D51" i="5"/>
  <c r="E16" i="5"/>
  <c r="G22" i="5"/>
  <c r="F27" i="5"/>
  <c r="B31" i="5"/>
  <c r="A36" i="5"/>
  <c r="E5" i="5"/>
  <c r="M9" i="5"/>
  <c r="F12" i="5"/>
  <c r="L14" i="5"/>
  <c r="E17" i="5"/>
  <c r="K19" i="5"/>
  <c r="D22" i="5"/>
  <c r="J24" i="5"/>
  <c r="C27" i="5"/>
  <c r="I29" i="5"/>
  <c r="B32" i="5"/>
  <c r="H34" i="5"/>
  <c r="A37" i="5"/>
  <c r="K38" i="5"/>
  <c r="F40" i="5"/>
  <c r="K41" i="5"/>
  <c r="A43" i="5"/>
  <c r="D44" i="5"/>
  <c r="G45" i="5"/>
  <c r="J46" i="5"/>
  <c r="M47" i="5"/>
  <c r="C49" i="5"/>
  <c r="F50" i="5"/>
  <c r="I51" i="5"/>
  <c r="L6" i="5"/>
  <c r="K10" i="5"/>
  <c r="D13" i="5"/>
  <c r="J15" i="5"/>
  <c r="I2" i="5"/>
  <c r="H7" i="5"/>
  <c r="G12" i="5"/>
  <c r="F17" i="5"/>
  <c r="G20" i="5"/>
  <c r="J21" i="5"/>
  <c r="M22" i="5"/>
  <c r="C24" i="5"/>
  <c r="F25" i="5"/>
  <c r="I26" i="5"/>
  <c r="L27" i="5"/>
  <c r="B29" i="5"/>
  <c r="E30" i="5"/>
  <c r="H31" i="5"/>
  <c r="K32" i="5"/>
  <c r="A34" i="5"/>
  <c r="D35" i="5"/>
  <c r="G36" i="5"/>
  <c r="J37" i="5"/>
  <c r="M38" i="5"/>
  <c r="C40" i="5"/>
  <c r="F2" i="5"/>
  <c r="I3" i="5"/>
  <c r="L4" i="5"/>
  <c r="B6" i="5"/>
  <c r="E7" i="5"/>
  <c r="H8" i="5"/>
  <c r="K9" i="5"/>
  <c r="A11" i="5"/>
  <c r="D12" i="5"/>
  <c r="G13" i="5"/>
  <c r="J14" i="5"/>
  <c r="M15" i="5"/>
  <c r="C17" i="5"/>
  <c r="F18" i="5"/>
  <c r="I19" i="5"/>
  <c r="L20" i="5"/>
  <c r="B22" i="5"/>
  <c r="E23" i="5"/>
  <c r="H24" i="5"/>
  <c r="K25" i="5"/>
  <c r="A27" i="5"/>
  <c r="D28" i="5"/>
  <c r="G29" i="5"/>
  <c r="J30" i="5"/>
  <c r="M31" i="5"/>
  <c r="C33" i="5"/>
  <c r="F34" i="5"/>
  <c r="I35" i="5"/>
  <c r="L36" i="5"/>
  <c r="K2" i="5"/>
  <c r="A4" i="5"/>
  <c r="D5" i="5"/>
  <c r="G6" i="5"/>
  <c r="J7" i="5"/>
  <c r="M8" i="5"/>
  <c r="G3" i="5"/>
  <c r="F8" i="5"/>
  <c r="G11" i="5"/>
  <c r="M13" i="5"/>
  <c r="F16" i="5"/>
  <c r="L18" i="5"/>
  <c r="E21" i="5"/>
  <c r="K23" i="5"/>
  <c r="D26" i="5"/>
  <c r="J28" i="5"/>
  <c r="C31" i="5"/>
  <c r="A5" i="5"/>
  <c r="L9" i="5"/>
  <c r="E12" i="5"/>
  <c r="K14" i="5"/>
  <c r="D17" i="5"/>
  <c r="J19" i="5"/>
  <c r="C22" i="5"/>
  <c r="I24" i="5"/>
  <c r="B27" i="5"/>
  <c r="H29" i="5"/>
  <c r="A32" i="5"/>
  <c r="G34" i="5"/>
  <c r="M36" i="5"/>
  <c r="J38" i="5"/>
  <c r="E40" i="5"/>
  <c r="J41" i="5"/>
  <c r="M42" i="5"/>
  <c r="C44" i="5"/>
  <c r="F45" i="5"/>
  <c r="I46" i="5"/>
  <c r="L47" i="5"/>
  <c r="B49" i="5"/>
  <c r="E50" i="5"/>
  <c r="L3" i="5"/>
  <c r="K8" i="5"/>
  <c r="J13" i="5"/>
  <c r="I18" i="5"/>
  <c r="K20" i="5"/>
  <c r="A22" i="5"/>
  <c r="D23" i="5"/>
  <c r="G24" i="5"/>
  <c r="J25" i="5"/>
  <c r="M26" i="5"/>
  <c r="C28" i="5"/>
  <c r="F29" i="5"/>
  <c r="I30" i="5"/>
  <c r="L31" i="5"/>
  <c r="B33" i="5"/>
  <c r="E34" i="5"/>
  <c r="H35" i="5"/>
  <c r="K36" i="5"/>
  <c r="A38" i="5"/>
  <c r="D39" i="5"/>
  <c r="G40" i="5"/>
  <c r="J2" i="5"/>
  <c r="M3" i="5"/>
  <c r="C5" i="5"/>
  <c r="B5" i="5"/>
  <c r="A10" i="5"/>
  <c r="M14" i="5"/>
  <c r="L19" i="5"/>
  <c r="B21" i="5"/>
  <c r="E22" i="5"/>
  <c r="H23" i="5"/>
  <c r="K24" i="5"/>
  <c r="A26" i="5"/>
  <c r="D27" i="5"/>
  <c r="G28" i="5"/>
  <c r="J29" i="5"/>
  <c r="M30" i="5"/>
  <c r="C32" i="5"/>
  <c r="F33" i="5"/>
  <c r="I34" i="5"/>
  <c r="L35" i="5"/>
  <c r="B37" i="5"/>
  <c r="E38" i="5"/>
  <c r="H39" i="5"/>
  <c r="K40" i="5"/>
  <c r="A3" i="5"/>
  <c r="D4" i="5"/>
  <c r="G5" i="5"/>
  <c r="J6" i="5"/>
  <c r="M7" i="5"/>
  <c r="C9" i="5"/>
  <c r="F10" i="5"/>
  <c r="I11" i="5"/>
  <c r="L12" i="5"/>
  <c r="B14" i="5"/>
  <c r="E15" i="5"/>
  <c r="H16" i="5"/>
  <c r="K17" i="5"/>
  <c r="A19" i="5"/>
  <c r="D20" i="5"/>
  <c r="G21" i="5"/>
  <c r="J22" i="5"/>
  <c r="M23" i="5"/>
  <c r="C25" i="5"/>
  <c r="F26" i="5"/>
  <c r="I27" i="5"/>
  <c r="L28" i="5"/>
  <c r="B30" i="5"/>
  <c r="E31" i="5"/>
  <c r="H32" i="5"/>
  <c r="K33" i="5"/>
  <c r="A35" i="5"/>
  <c r="D36" i="5"/>
  <c r="C2" i="5"/>
  <c r="F3" i="5"/>
  <c r="I4" i="5"/>
  <c r="L5" i="5"/>
  <c r="B7" i="5"/>
  <c r="E8" i="5"/>
  <c r="H9" i="5"/>
  <c r="M5" i="5"/>
  <c r="D10" i="5"/>
  <c r="J12" i="5"/>
  <c r="C15" i="5"/>
  <c r="I17" i="5"/>
  <c r="B20" i="5"/>
  <c r="H22" i="5"/>
  <c r="A25" i="5"/>
  <c r="G27" i="5"/>
  <c r="M29" i="5"/>
  <c r="H2" i="5"/>
  <c r="G7" i="5"/>
  <c r="B11" i="5"/>
  <c r="H13" i="5"/>
  <c r="A16" i="5"/>
  <c r="G18" i="5"/>
  <c r="M20" i="5"/>
  <c r="F23" i="5"/>
  <c r="L25" i="5"/>
  <c r="E28" i="5"/>
  <c r="K30" i="5"/>
  <c r="D33" i="5"/>
  <c r="J35" i="5"/>
  <c r="L37" i="5"/>
  <c r="G39" i="5"/>
  <c r="B41" i="5"/>
  <c r="E42" i="5"/>
  <c r="H43" i="5"/>
  <c r="K44" i="5"/>
  <c r="A46" i="5"/>
  <c r="D47" i="5"/>
  <c r="G48" i="5"/>
  <c r="J49" i="5"/>
  <c r="M50" i="5"/>
  <c r="F4" i="5"/>
  <c r="D21" i="5"/>
  <c r="C26" i="5"/>
  <c r="G30" i="5"/>
  <c r="K34" i="5"/>
  <c r="B4" i="5"/>
  <c r="A9" i="5"/>
  <c r="K11" i="5"/>
  <c r="D14" i="5"/>
  <c r="J16" i="5"/>
  <c r="C19" i="5"/>
  <c r="I21" i="5"/>
  <c r="B24" i="5"/>
  <c r="H26" i="5"/>
  <c r="A29" i="5"/>
  <c r="G31" i="5"/>
  <c r="M33" i="5"/>
  <c r="F36" i="5"/>
  <c r="F38" i="5"/>
  <c r="A40" i="5"/>
  <c r="G41" i="5"/>
  <c r="J42" i="5"/>
  <c r="M43" i="5"/>
  <c r="C45" i="5"/>
  <c r="F46" i="5"/>
  <c r="I47" i="5"/>
  <c r="L48" i="5"/>
  <c r="B50" i="5"/>
  <c r="E51" i="5"/>
  <c r="I5" i="5"/>
  <c r="C10" i="5"/>
  <c r="I12" i="5"/>
  <c r="F6" i="5"/>
  <c r="E11" i="5"/>
  <c r="D16" i="5"/>
  <c r="C21" i="5"/>
  <c r="B26" i="5"/>
  <c r="A31" i="5"/>
  <c r="M35" i="5"/>
  <c r="H5" i="5"/>
  <c r="J4" i="5"/>
  <c r="A17" i="5"/>
  <c r="L26" i="5"/>
  <c r="G10" i="5"/>
  <c r="E20" i="5"/>
  <c r="C30" i="5"/>
  <c r="B39" i="5"/>
  <c r="G44" i="5"/>
  <c r="F49" i="5"/>
  <c r="C18" i="5"/>
  <c r="A28" i="5"/>
  <c r="I36" i="5"/>
  <c r="H10" i="5"/>
  <c r="G15" i="5"/>
  <c r="F20" i="5"/>
  <c r="E25" i="5"/>
  <c r="D30" i="5"/>
  <c r="C35" i="5"/>
  <c r="C39" i="5"/>
  <c r="B42" i="5"/>
  <c r="H44" i="5"/>
  <c r="A47" i="5"/>
  <c r="G49" i="5"/>
  <c r="M51" i="5"/>
  <c r="F11" i="5"/>
  <c r="B15" i="5"/>
  <c r="F19" i="5"/>
  <c r="E24" i="5"/>
  <c r="L29" i="5"/>
  <c r="F35" i="5"/>
  <c r="C38" i="5"/>
  <c r="E41" i="5"/>
  <c r="K43" i="5"/>
  <c r="D46" i="5"/>
  <c r="J48" i="5"/>
  <c r="C51" i="5"/>
  <c r="B44" i="5"/>
  <c r="D37" i="5"/>
  <c r="H40" i="5"/>
  <c r="M44" i="5"/>
  <c r="J51" i="5"/>
  <c r="G38" i="5"/>
  <c r="H41" i="5"/>
  <c r="A44" i="5"/>
  <c r="G46" i="5"/>
  <c r="M48" i="5"/>
  <c r="D40" i="5"/>
  <c r="L42" i="5"/>
  <c r="M45" i="5"/>
  <c r="A49" i="5"/>
  <c r="H45" i="5"/>
  <c r="H12" i="5"/>
  <c r="G17" i="5"/>
  <c r="F22" i="5"/>
  <c r="E27" i="5"/>
  <c r="D32" i="5"/>
  <c r="K6" i="5"/>
  <c r="I9" i="5"/>
  <c r="E29" i="5"/>
  <c r="K22" i="5"/>
  <c r="J40" i="5"/>
  <c r="I50" i="5"/>
  <c r="D29" i="5"/>
  <c r="C11" i="5"/>
  <c r="A21" i="5"/>
  <c r="K35" i="5"/>
  <c r="F42" i="5"/>
  <c r="K49" i="5"/>
  <c r="A12" i="5"/>
  <c r="H25" i="5"/>
  <c r="A33" i="5"/>
  <c r="M41" i="5"/>
  <c r="L46" i="5"/>
  <c r="E49" i="5"/>
  <c r="B38" i="5"/>
  <c r="I33" i="5"/>
  <c r="C42" i="5"/>
  <c r="B47" i="5"/>
  <c r="K37" i="5"/>
  <c r="H46" i="5"/>
  <c r="D41" i="5"/>
  <c r="C46" i="5"/>
  <c r="L8" i="5"/>
  <c r="J50" i="5"/>
  <c r="M32" i="5"/>
  <c r="H42" i="5"/>
  <c r="M49" i="5"/>
  <c r="G51" i="5"/>
  <c r="I48" i="5"/>
  <c r="K42" i="5"/>
  <c r="C50" i="5"/>
  <c r="I41" i="5"/>
  <c r="D50" i="5"/>
  <c r="B51" i="5"/>
  <c r="J18" i="5"/>
  <c r="I23" i="5"/>
  <c r="H28" i="5"/>
  <c r="G33" i="5"/>
  <c r="B3" i="5"/>
  <c r="A8" i="5"/>
  <c r="B12" i="5"/>
  <c r="M21" i="5"/>
  <c r="K31" i="5"/>
  <c r="F15" i="5"/>
  <c r="D25" i="5"/>
  <c r="B35" i="5"/>
  <c r="A42" i="5"/>
  <c r="M46" i="5"/>
  <c r="H51" i="5"/>
  <c r="J23" i="5"/>
  <c r="E32" i="5"/>
  <c r="H6" i="5"/>
  <c r="A13" i="5"/>
  <c r="M17" i="5"/>
  <c r="L22" i="5"/>
  <c r="K27" i="5"/>
  <c r="J32" i="5"/>
  <c r="H37" i="5"/>
  <c r="L40" i="5"/>
  <c r="E43" i="5"/>
  <c r="K45" i="5"/>
  <c r="B8" i="5"/>
  <c r="L13" i="5"/>
  <c r="H17" i="5"/>
  <c r="L21" i="5"/>
  <c r="G35" i="5"/>
  <c r="A45" i="5"/>
  <c r="L38" i="5"/>
  <c r="B36" i="5"/>
  <c r="J47" i="5"/>
  <c r="J44" i="5"/>
  <c r="B43" i="5"/>
  <c r="B10" i="5"/>
  <c r="A15" i="5"/>
  <c r="M19" i="5"/>
  <c r="L24" i="5"/>
  <c r="K29" i="5"/>
  <c r="J34" i="5"/>
  <c r="E4" i="5"/>
  <c r="D9" i="5"/>
  <c r="H14" i="5"/>
  <c r="F24" i="5"/>
  <c r="D6" i="5"/>
  <c r="L17" i="5"/>
  <c r="J27" i="5"/>
  <c r="G37" i="5"/>
  <c r="D43" i="5"/>
  <c r="C48" i="5"/>
  <c r="L51" i="5"/>
  <c r="M24" i="5"/>
  <c r="H33" i="5"/>
  <c r="K7" i="5"/>
  <c r="I13" i="5"/>
  <c r="H18" i="5"/>
  <c r="G23" i="5"/>
  <c r="F28" i="5"/>
  <c r="E33" i="5"/>
  <c r="M37" i="5"/>
  <c r="C41" i="5"/>
  <c r="I43" i="5"/>
  <c r="B46" i="5"/>
  <c r="H48" i="5"/>
  <c r="A51" i="5"/>
  <c r="E9" i="5"/>
  <c r="G14" i="5"/>
  <c r="K18" i="5"/>
  <c r="B23" i="5"/>
  <c r="I28" i="5"/>
  <c r="C34" i="5"/>
  <c r="E37" i="5"/>
  <c r="I40" i="5"/>
  <c r="C43" i="5"/>
  <c r="I45" i="5"/>
  <c r="B48" i="5"/>
  <c r="H50" i="5"/>
  <c r="D34" i="5"/>
  <c r="L34" i="5"/>
  <c r="J39" i="5"/>
  <c r="J43" i="5"/>
  <c r="G50" i="5"/>
  <c r="I37" i="5"/>
  <c r="M40" i="5"/>
  <c r="F43" i="5"/>
  <c r="L45" i="5"/>
  <c r="E48" i="5"/>
  <c r="F51" i="5"/>
  <c r="F39" i="5"/>
  <c r="D42" i="5"/>
  <c r="E45" i="5"/>
  <c r="F48" i="5"/>
  <c r="L50" i="5"/>
  <c r="E44" i="5"/>
  <c r="A48" i="5"/>
  <c r="J36" i="5"/>
  <c r="F32" i="5"/>
  <c r="D49" i="5"/>
  <c r="I7" i="5"/>
  <c r="C37" i="5"/>
  <c r="G19" i="5"/>
  <c r="M12" i="5"/>
  <c r="I32" i="5"/>
  <c r="J45" i="5"/>
  <c r="A20" i="5"/>
  <c r="L2" i="5"/>
  <c r="B16" i="5"/>
  <c r="M25" i="5"/>
  <c r="L30" i="5"/>
  <c r="I39" i="5"/>
  <c r="L44" i="5"/>
  <c r="E47" i="5"/>
  <c r="C3" i="5"/>
  <c r="M16" i="5"/>
  <c r="I20" i="5"/>
  <c r="J31" i="5"/>
  <c r="A39" i="5"/>
  <c r="F44" i="5"/>
  <c r="K51" i="5"/>
  <c r="K47" i="5"/>
  <c r="L41" i="5"/>
  <c r="K46" i="5"/>
  <c r="E39" i="5"/>
  <c r="I44" i="5"/>
  <c r="H49" i="5"/>
  <c r="A41" i="5"/>
  <c r="G43" i="5"/>
  <c r="I49" i="5"/>
  <c r="L49" i="5"/>
  <c r="K13" i="5"/>
  <c r="D48" i="5"/>
  <c r="K26" i="5"/>
  <c r="K39" i="5"/>
  <c r="G47" i="5"/>
  <c r="K50" i="5"/>
  <c r="G42" i="5"/>
  <c r="B40" i="5"/>
  <c r="D45" i="5"/>
  <c r="H38" i="5"/>
  <c r="C47" i="5"/>
  <c r="F47" i="5"/>
  <c r="C6" i="6" l="1"/>
  <c r="D5" i="6"/>
  <c r="AQ1" i="1"/>
  <c r="AP1" i="1" s="1"/>
  <c r="C7" i="6" l="1"/>
  <c r="D6" i="6"/>
  <c r="C8" i="6" l="1"/>
  <c r="D7" i="6"/>
  <c r="AM2" i="1"/>
  <c r="AO1" i="1"/>
  <c r="C9" i="6" l="1"/>
  <c r="D8" i="6"/>
  <c r="AO2" i="1"/>
  <c r="AQ2" i="1" s="1"/>
  <c r="AP2" i="1" s="1"/>
  <c r="C10" i="6" l="1"/>
  <c r="D9" i="6"/>
  <c r="AL21" i="1"/>
  <c r="AL92" i="1"/>
  <c r="AL48" i="1"/>
  <c r="AL13" i="1"/>
  <c r="AM57" i="1"/>
  <c r="AL53" i="1"/>
  <c r="AL24" i="1"/>
  <c r="AM61" i="1"/>
  <c r="AL11" i="1"/>
  <c r="AM95" i="1"/>
  <c r="AM47" i="1"/>
  <c r="AM31" i="1"/>
  <c r="AL29" i="1"/>
  <c r="AM73" i="1"/>
  <c r="AL100" i="1"/>
  <c r="AL14" i="1"/>
  <c r="AL28" i="1"/>
  <c r="AM97" i="1"/>
  <c r="AL80" i="1"/>
  <c r="AM65" i="1"/>
  <c r="AL9" i="1"/>
  <c r="AL47" i="1"/>
  <c r="AM51" i="1"/>
  <c r="AL90" i="1"/>
  <c r="AM9" i="1"/>
  <c r="AL56" i="1"/>
  <c r="AM100" i="1"/>
  <c r="AL26" i="1"/>
  <c r="AM69" i="1"/>
  <c r="AL102" i="1"/>
  <c r="AL45" i="1"/>
  <c r="AM89" i="1"/>
  <c r="AM60" i="1"/>
  <c r="AL37" i="1"/>
  <c r="AL8" i="1"/>
  <c r="AM13" i="1"/>
  <c r="AL84" i="1"/>
  <c r="AL62" i="1"/>
  <c r="AL23" i="1"/>
  <c r="AL7" i="1"/>
  <c r="AM75" i="1"/>
  <c r="AM59" i="1"/>
  <c r="AM43" i="1"/>
  <c r="AL58" i="1"/>
  <c r="AM101" i="1"/>
  <c r="AL35" i="1"/>
  <c r="AM71" i="1"/>
  <c r="AM41" i="1"/>
  <c r="AM7" i="1"/>
  <c r="AL50" i="1"/>
  <c r="AL30" i="1"/>
  <c r="AM88" i="1"/>
  <c r="AM99" i="1"/>
  <c r="AM67" i="1"/>
  <c r="AL98" i="1"/>
  <c r="AM85" i="1"/>
  <c r="AM25" i="1"/>
  <c r="AM54" i="1"/>
  <c r="AL96" i="1"/>
  <c r="AM35" i="1"/>
  <c r="AM19" i="1"/>
  <c r="E55" i="1"/>
  <c r="AH55" i="1" s="1"/>
  <c r="AJ55" i="1" s="1"/>
  <c r="F55" i="1"/>
  <c r="AI55" i="1" s="1"/>
  <c r="AK55" i="1" s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E56" i="1"/>
  <c r="AH56" i="1" s="1"/>
  <c r="AJ56" i="1" s="1"/>
  <c r="F56" i="1"/>
  <c r="AI56" i="1" s="1"/>
  <c r="AK56" i="1" s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E57" i="1"/>
  <c r="AH57" i="1" s="1"/>
  <c r="AJ57" i="1" s="1"/>
  <c r="F57" i="1"/>
  <c r="AI57" i="1" s="1"/>
  <c r="AK57" i="1" s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E58" i="1"/>
  <c r="AH58" i="1" s="1"/>
  <c r="AJ58" i="1" s="1"/>
  <c r="F58" i="1"/>
  <c r="AI58" i="1" s="1"/>
  <c r="AK58" i="1" s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E59" i="1"/>
  <c r="AH59" i="1" s="1"/>
  <c r="AJ59" i="1" s="1"/>
  <c r="F59" i="1"/>
  <c r="AI59" i="1" s="1"/>
  <c r="AK59" i="1" s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E60" i="1"/>
  <c r="AH60" i="1" s="1"/>
  <c r="AJ60" i="1" s="1"/>
  <c r="F60" i="1"/>
  <c r="AI60" i="1" s="1"/>
  <c r="AK60" i="1" s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E61" i="1"/>
  <c r="AH61" i="1" s="1"/>
  <c r="AJ61" i="1" s="1"/>
  <c r="F61" i="1"/>
  <c r="AI61" i="1" s="1"/>
  <c r="AK61" i="1" s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E62" i="1"/>
  <c r="AH62" i="1" s="1"/>
  <c r="AJ62" i="1" s="1"/>
  <c r="F62" i="1"/>
  <c r="AI62" i="1" s="1"/>
  <c r="AK62" i="1" s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E63" i="1"/>
  <c r="AH63" i="1" s="1"/>
  <c r="AJ63" i="1" s="1"/>
  <c r="F63" i="1"/>
  <c r="AI63" i="1" s="1"/>
  <c r="AK63" i="1" s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E64" i="1"/>
  <c r="AH64" i="1" s="1"/>
  <c r="AJ64" i="1" s="1"/>
  <c r="F64" i="1"/>
  <c r="AI64" i="1" s="1"/>
  <c r="AK64" i="1" s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E65" i="1"/>
  <c r="AH65" i="1" s="1"/>
  <c r="AJ65" i="1" s="1"/>
  <c r="F65" i="1"/>
  <c r="AI65" i="1" s="1"/>
  <c r="AK65" i="1" s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E66" i="1"/>
  <c r="AH66" i="1" s="1"/>
  <c r="AJ66" i="1" s="1"/>
  <c r="F66" i="1"/>
  <c r="AI66" i="1" s="1"/>
  <c r="AK66" i="1" s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E67" i="1"/>
  <c r="AH67" i="1" s="1"/>
  <c r="AJ67" i="1" s="1"/>
  <c r="F67" i="1"/>
  <c r="AI67" i="1" s="1"/>
  <c r="AK67" i="1" s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E68" i="1"/>
  <c r="AH68" i="1" s="1"/>
  <c r="AJ68" i="1" s="1"/>
  <c r="F68" i="1"/>
  <c r="AI68" i="1" s="1"/>
  <c r="AK68" i="1" s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E69" i="1"/>
  <c r="AH69" i="1" s="1"/>
  <c r="AJ69" i="1" s="1"/>
  <c r="F69" i="1"/>
  <c r="AI69" i="1" s="1"/>
  <c r="AK69" i="1" s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E70" i="1"/>
  <c r="AH70" i="1" s="1"/>
  <c r="AJ70" i="1" s="1"/>
  <c r="F70" i="1"/>
  <c r="AI70" i="1" s="1"/>
  <c r="AK70" i="1" s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E71" i="1"/>
  <c r="AH71" i="1" s="1"/>
  <c r="AJ71" i="1" s="1"/>
  <c r="F71" i="1"/>
  <c r="AI71" i="1" s="1"/>
  <c r="AK71" i="1" s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E72" i="1"/>
  <c r="AH72" i="1" s="1"/>
  <c r="AJ72" i="1" s="1"/>
  <c r="F72" i="1"/>
  <c r="AI72" i="1" s="1"/>
  <c r="AK72" i="1" s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E73" i="1"/>
  <c r="AH73" i="1" s="1"/>
  <c r="AJ73" i="1" s="1"/>
  <c r="F73" i="1"/>
  <c r="AI73" i="1" s="1"/>
  <c r="AK73" i="1" s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E74" i="1"/>
  <c r="AH74" i="1" s="1"/>
  <c r="AJ74" i="1" s="1"/>
  <c r="F74" i="1"/>
  <c r="AI74" i="1" s="1"/>
  <c r="AK74" i="1" s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E75" i="1"/>
  <c r="AH75" i="1" s="1"/>
  <c r="AJ75" i="1" s="1"/>
  <c r="F75" i="1"/>
  <c r="AI75" i="1" s="1"/>
  <c r="AK75" i="1" s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E76" i="1"/>
  <c r="AH76" i="1" s="1"/>
  <c r="AJ76" i="1" s="1"/>
  <c r="F76" i="1"/>
  <c r="AI76" i="1" s="1"/>
  <c r="AK76" i="1" s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E77" i="1"/>
  <c r="AH77" i="1" s="1"/>
  <c r="AJ77" i="1" s="1"/>
  <c r="F77" i="1"/>
  <c r="AI77" i="1" s="1"/>
  <c r="AK77" i="1" s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E78" i="1"/>
  <c r="AH78" i="1" s="1"/>
  <c r="AJ78" i="1" s="1"/>
  <c r="F78" i="1"/>
  <c r="AI78" i="1" s="1"/>
  <c r="AK78" i="1" s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E79" i="1"/>
  <c r="AH79" i="1" s="1"/>
  <c r="AJ79" i="1" s="1"/>
  <c r="F79" i="1"/>
  <c r="AI79" i="1" s="1"/>
  <c r="AK79" i="1" s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E80" i="1"/>
  <c r="AH80" i="1" s="1"/>
  <c r="AJ80" i="1" s="1"/>
  <c r="F80" i="1"/>
  <c r="AI80" i="1" s="1"/>
  <c r="AK80" i="1" s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E81" i="1"/>
  <c r="AH81" i="1" s="1"/>
  <c r="AJ81" i="1" s="1"/>
  <c r="F81" i="1"/>
  <c r="AI81" i="1" s="1"/>
  <c r="AK81" i="1" s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E82" i="1"/>
  <c r="AH82" i="1" s="1"/>
  <c r="AJ82" i="1" s="1"/>
  <c r="F82" i="1"/>
  <c r="AI82" i="1" s="1"/>
  <c r="AK82" i="1" s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E83" i="1"/>
  <c r="AH83" i="1" s="1"/>
  <c r="AJ83" i="1" s="1"/>
  <c r="F83" i="1"/>
  <c r="AI83" i="1" s="1"/>
  <c r="AK83" i="1" s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E84" i="1"/>
  <c r="AH84" i="1" s="1"/>
  <c r="AJ84" i="1" s="1"/>
  <c r="F84" i="1"/>
  <c r="AI84" i="1" s="1"/>
  <c r="AK84" i="1" s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E85" i="1"/>
  <c r="AH85" i="1" s="1"/>
  <c r="AJ85" i="1" s="1"/>
  <c r="F85" i="1"/>
  <c r="AI85" i="1" s="1"/>
  <c r="AK85" i="1" s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E86" i="1"/>
  <c r="AH86" i="1" s="1"/>
  <c r="AJ86" i="1" s="1"/>
  <c r="F86" i="1"/>
  <c r="AI86" i="1" s="1"/>
  <c r="AK86" i="1" s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E87" i="1"/>
  <c r="AH87" i="1" s="1"/>
  <c r="AJ87" i="1" s="1"/>
  <c r="F87" i="1"/>
  <c r="AI87" i="1" s="1"/>
  <c r="AK87" i="1" s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E88" i="1"/>
  <c r="AH88" i="1" s="1"/>
  <c r="AJ88" i="1" s="1"/>
  <c r="F88" i="1"/>
  <c r="AI88" i="1" s="1"/>
  <c r="AK88" i="1" s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E89" i="1"/>
  <c r="AH89" i="1" s="1"/>
  <c r="AJ89" i="1" s="1"/>
  <c r="F89" i="1"/>
  <c r="AI89" i="1" s="1"/>
  <c r="AK89" i="1" s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E90" i="1"/>
  <c r="AH90" i="1" s="1"/>
  <c r="AJ90" i="1" s="1"/>
  <c r="F90" i="1"/>
  <c r="AI90" i="1" s="1"/>
  <c r="AK90" i="1" s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E91" i="1"/>
  <c r="AH91" i="1" s="1"/>
  <c r="AJ91" i="1" s="1"/>
  <c r="F91" i="1"/>
  <c r="AI91" i="1" s="1"/>
  <c r="AK91" i="1" s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E92" i="1"/>
  <c r="AH92" i="1" s="1"/>
  <c r="AJ92" i="1" s="1"/>
  <c r="F92" i="1"/>
  <c r="AI92" i="1" s="1"/>
  <c r="AK92" i="1" s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E93" i="1"/>
  <c r="AH93" i="1" s="1"/>
  <c r="AJ93" i="1" s="1"/>
  <c r="F93" i="1"/>
  <c r="AI93" i="1" s="1"/>
  <c r="AK93" i="1" s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E94" i="1"/>
  <c r="AH94" i="1" s="1"/>
  <c r="AJ94" i="1" s="1"/>
  <c r="F94" i="1"/>
  <c r="AI94" i="1" s="1"/>
  <c r="AK94" i="1" s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E95" i="1"/>
  <c r="AH95" i="1" s="1"/>
  <c r="AJ95" i="1" s="1"/>
  <c r="F95" i="1"/>
  <c r="AI95" i="1" s="1"/>
  <c r="AK95" i="1" s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E96" i="1"/>
  <c r="AH96" i="1" s="1"/>
  <c r="AJ96" i="1" s="1"/>
  <c r="F96" i="1"/>
  <c r="AI96" i="1" s="1"/>
  <c r="AK96" i="1" s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E97" i="1"/>
  <c r="AH97" i="1" s="1"/>
  <c r="AJ97" i="1" s="1"/>
  <c r="F97" i="1"/>
  <c r="AI97" i="1" s="1"/>
  <c r="AK97" i="1" s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E98" i="1"/>
  <c r="AH98" i="1" s="1"/>
  <c r="AJ98" i="1" s="1"/>
  <c r="F98" i="1"/>
  <c r="AI98" i="1" s="1"/>
  <c r="AK98" i="1" s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E99" i="1"/>
  <c r="AH99" i="1" s="1"/>
  <c r="AJ99" i="1" s="1"/>
  <c r="F99" i="1"/>
  <c r="AI99" i="1" s="1"/>
  <c r="AK99" i="1" s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E100" i="1"/>
  <c r="AH100" i="1" s="1"/>
  <c r="AJ100" i="1" s="1"/>
  <c r="F100" i="1"/>
  <c r="AI100" i="1" s="1"/>
  <c r="AK100" i="1" s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E101" i="1"/>
  <c r="AH101" i="1" s="1"/>
  <c r="AJ101" i="1" s="1"/>
  <c r="F101" i="1"/>
  <c r="AI101" i="1" s="1"/>
  <c r="AK101" i="1" s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E102" i="1"/>
  <c r="AH102" i="1" s="1"/>
  <c r="AJ102" i="1" s="1"/>
  <c r="F102" i="1"/>
  <c r="AI102" i="1" s="1"/>
  <c r="AK102" i="1" s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E103" i="1"/>
  <c r="AH103" i="1" s="1"/>
  <c r="AJ103" i="1" s="1"/>
  <c r="F103" i="1"/>
  <c r="AI103" i="1" s="1"/>
  <c r="AK103" i="1" s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F54" i="1"/>
  <c r="AI54" i="1" s="1"/>
  <c r="AK54" i="1" s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E54" i="1"/>
  <c r="AH54" i="1" s="1"/>
  <c r="AJ54" i="1" s="1"/>
  <c r="E49" i="1"/>
  <c r="AH49" i="1" s="1"/>
  <c r="AJ49" i="1" s="1"/>
  <c r="F49" i="1"/>
  <c r="AI49" i="1" s="1"/>
  <c r="AK49" i="1" s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E50" i="1"/>
  <c r="AH50" i="1" s="1"/>
  <c r="AJ50" i="1" s="1"/>
  <c r="F50" i="1"/>
  <c r="AI50" i="1" s="1"/>
  <c r="AK50" i="1" s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E51" i="1"/>
  <c r="AH51" i="1" s="1"/>
  <c r="AJ51" i="1" s="1"/>
  <c r="F51" i="1"/>
  <c r="AI51" i="1" s="1"/>
  <c r="AK51" i="1" s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E52" i="1"/>
  <c r="AH52" i="1" s="1"/>
  <c r="AJ52" i="1" s="1"/>
  <c r="F52" i="1"/>
  <c r="AI52" i="1" s="1"/>
  <c r="AK52" i="1" s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E53" i="1"/>
  <c r="AH53" i="1" s="1"/>
  <c r="AJ53" i="1" s="1"/>
  <c r="F53" i="1"/>
  <c r="AI53" i="1" s="1"/>
  <c r="AK53" i="1" s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E24" i="1"/>
  <c r="AH24" i="1" s="1"/>
  <c r="AJ24" i="1" s="1"/>
  <c r="F24" i="1"/>
  <c r="AI24" i="1" s="1"/>
  <c r="AK24" i="1" s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E25" i="1"/>
  <c r="AH25" i="1" s="1"/>
  <c r="AJ25" i="1" s="1"/>
  <c r="F25" i="1"/>
  <c r="AI25" i="1" s="1"/>
  <c r="AK25" i="1" s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E26" i="1"/>
  <c r="AH26" i="1" s="1"/>
  <c r="AJ26" i="1" s="1"/>
  <c r="F26" i="1"/>
  <c r="AI26" i="1" s="1"/>
  <c r="AK26" i="1" s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E27" i="1"/>
  <c r="AH27" i="1" s="1"/>
  <c r="AJ27" i="1" s="1"/>
  <c r="F27" i="1"/>
  <c r="AI27" i="1" s="1"/>
  <c r="AK27" i="1" s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E28" i="1"/>
  <c r="AH28" i="1" s="1"/>
  <c r="AJ28" i="1" s="1"/>
  <c r="F28" i="1"/>
  <c r="AI28" i="1" s="1"/>
  <c r="AK28" i="1" s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E29" i="1"/>
  <c r="AH29" i="1" s="1"/>
  <c r="AJ29" i="1" s="1"/>
  <c r="F29" i="1"/>
  <c r="AI29" i="1" s="1"/>
  <c r="AK29" i="1" s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E30" i="1"/>
  <c r="AH30" i="1" s="1"/>
  <c r="AJ30" i="1" s="1"/>
  <c r="F30" i="1"/>
  <c r="AI30" i="1" s="1"/>
  <c r="AK30" i="1" s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E31" i="1"/>
  <c r="AH31" i="1" s="1"/>
  <c r="AJ31" i="1" s="1"/>
  <c r="F31" i="1"/>
  <c r="AI31" i="1" s="1"/>
  <c r="AK31" i="1" s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E32" i="1"/>
  <c r="AH32" i="1" s="1"/>
  <c r="AJ32" i="1" s="1"/>
  <c r="F32" i="1"/>
  <c r="AI32" i="1" s="1"/>
  <c r="AK32" i="1" s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E33" i="1"/>
  <c r="AH33" i="1" s="1"/>
  <c r="AJ33" i="1" s="1"/>
  <c r="F33" i="1"/>
  <c r="AI33" i="1" s="1"/>
  <c r="AK33" i="1" s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E34" i="1"/>
  <c r="AH34" i="1" s="1"/>
  <c r="AJ34" i="1" s="1"/>
  <c r="F34" i="1"/>
  <c r="AI34" i="1" s="1"/>
  <c r="AK34" i="1" s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E35" i="1"/>
  <c r="AH35" i="1" s="1"/>
  <c r="AJ35" i="1" s="1"/>
  <c r="F35" i="1"/>
  <c r="AI35" i="1" s="1"/>
  <c r="AK35" i="1" s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E36" i="1"/>
  <c r="AH36" i="1" s="1"/>
  <c r="AJ36" i="1" s="1"/>
  <c r="F36" i="1"/>
  <c r="AI36" i="1" s="1"/>
  <c r="AK36" i="1" s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E37" i="1"/>
  <c r="AH37" i="1" s="1"/>
  <c r="AJ37" i="1" s="1"/>
  <c r="F37" i="1"/>
  <c r="AI37" i="1" s="1"/>
  <c r="AK37" i="1" s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E38" i="1"/>
  <c r="AH38" i="1" s="1"/>
  <c r="AJ38" i="1" s="1"/>
  <c r="F38" i="1"/>
  <c r="AI38" i="1" s="1"/>
  <c r="AK38" i="1" s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E39" i="1"/>
  <c r="AH39" i="1" s="1"/>
  <c r="AJ39" i="1" s="1"/>
  <c r="F39" i="1"/>
  <c r="AI39" i="1" s="1"/>
  <c r="AK39" i="1" s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E40" i="1"/>
  <c r="AH40" i="1" s="1"/>
  <c r="AJ40" i="1" s="1"/>
  <c r="F40" i="1"/>
  <c r="AI40" i="1" s="1"/>
  <c r="AK40" i="1" s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E41" i="1"/>
  <c r="AH41" i="1" s="1"/>
  <c r="AJ41" i="1" s="1"/>
  <c r="F41" i="1"/>
  <c r="AI41" i="1" s="1"/>
  <c r="AK41" i="1" s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E42" i="1"/>
  <c r="AH42" i="1" s="1"/>
  <c r="AJ42" i="1" s="1"/>
  <c r="F42" i="1"/>
  <c r="AI42" i="1" s="1"/>
  <c r="AK42" i="1" s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E43" i="1"/>
  <c r="AH43" i="1" s="1"/>
  <c r="AJ43" i="1" s="1"/>
  <c r="F43" i="1"/>
  <c r="AI43" i="1" s="1"/>
  <c r="AK43" i="1" s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E44" i="1"/>
  <c r="AH44" i="1" s="1"/>
  <c r="AJ44" i="1" s="1"/>
  <c r="F44" i="1"/>
  <c r="AI44" i="1" s="1"/>
  <c r="AK44" i="1" s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E45" i="1"/>
  <c r="AH45" i="1" s="1"/>
  <c r="AJ45" i="1" s="1"/>
  <c r="F45" i="1"/>
  <c r="AI45" i="1" s="1"/>
  <c r="AK45" i="1" s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E46" i="1"/>
  <c r="AH46" i="1" s="1"/>
  <c r="AJ46" i="1" s="1"/>
  <c r="F46" i="1"/>
  <c r="AI46" i="1" s="1"/>
  <c r="AK46" i="1" s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E47" i="1"/>
  <c r="AH47" i="1" s="1"/>
  <c r="AJ47" i="1" s="1"/>
  <c r="F47" i="1"/>
  <c r="AI47" i="1" s="1"/>
  <c r="AK47" i="1" s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E48" i="1"/>
  <c r="AH48" i="1" s="1"/>
  <c r="AJ48" i="1" s="1"/>
  <c r="F48" i="1"/>
  <c r="AI48" i="1" s="1"/>
  <c r="AK48" i="1" s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E5" i="1"/>
  <c r="AH5" i="1" s="1"/>
  <c r="AJ5" i="1" s="1"/>
  <c r="F5" i="1"/>
  <c r="AI5" i="1" s="1"/>
  <c r="AK5" i="1" s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E6" i="1"/>
  <c r="AH6" i="1" s="1"/>
  <c r="AJ6" i="1" s="1"/>
  <c r="F6" i="1"/>
  <c r="AI6" i="1" s="1"/>
  <c r="AK6" i="1" s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E7" i="1"/>
  <c r="AH7" i="1" s="1"/>
  <c r="AJ7" i="1" s="1"/>
  <c r="F7" i="1"/>
  <c r="AI7" i="1" s="1"/>
  <c r="AK7" i="1" s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E8" i="1"/>
  <c r="AH8" i="1" s="1"/>
  <c r="AJ8" i="1" s="1"/>
  <c r="F8" i="1"/>
  <c r="AI8" i="1" s="1"/>
  <c r="AK8" i="1" s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E9" i="1"/>
  <c r="AH9" i="1" s="1"/>
  <c r="AJ9" i="1" s="1"/>
  <c r="F9" i="1"/>
  <c r="AI9" i="1" s="1"/>
  <c r="AK9" i="1" s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E10" i="1"/>
  <c r="AH10" i="1" s="1"/>
  <c r="AJ10" i="1" s="1"/>
  <c r="F10" i="1"/>
  <c r="AI10" i="1" s="1"/>
  <c r="AK10" i="1" s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E11" i="1"/>
  <c r="AH11" i="1" s="1"/>
  <c r="AJ11" i="1" s="1"/>
  <c r="F11" i="1"/>
  <c r="AI11" i="1" s="1"/>
  <c r="AK11" i="1" s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E12" i="1"/>
  <c r="AH12" i="1" s="1"/>
  <c r="AJ12" i="1" s="1"/>
  <c r="F12" i="1"/>
  <c r="AI12" i="1" s="1"/>
  <c r="AK12" i="1" s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E13" i="1"/>
  <c r="AH13" i="1" s="1"/>
  <c r="AJ13" i="1" s="1"/>
  <c r="F13" i="1"/>
  <c r="AI13" i="1" s="1"/>
  <c r="AK13" i="1" s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E14" i="1"/>
  <c r="AH14" i="1" s="1"/>
  <c r="AJ14" i="1" s="1"/>
  <c r="F14" i="1"/>
  <c r="AI14" i="1" s="1"/>
  <c r="AK14" i="1" s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E15" i="1"/>
  <c r="AH15" i="1" s="1"/>
  <c r="AJ15" i="1" s="1"/>
  <c r="F15" i="1"/>
  <c r="AI15" i="1" s="1"/>
  <c r="AK15" i="1" s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E16" i="1"/>
  <c r="AH16" i="1" s="1"/>
  <c r="AJ16" i="1" s="1"/>
  <c r="F16" i="1"/>
  <c r="AI16" i="1" s="1"/>
  <c r="AK16" i="1" s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E17" i="1"/>
  <c r="AH17" i="1" s="1"/>
  <c r="AJ17" i="1" s="1"/>
  <c r="F17" i="1"/>
  <c r="AI17" i="1" s="1"/>
  <c r="AK17" i="1" s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E18" i="1"/>
  <c r="AH18" i="1" s="1"/>
  <c r="AJ18" i="1" s="1"/>
  <c r="F18" i="1"/>
  <c r="AI18" i="1" s="1"/>
  <c r="AK18" i="1" s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E19" i="1"/>
  <c r="AH19" i="1" s="1"/>
  <c r="AJ19" i="1" s="1"/>
  <c r="F19" i="1"/>
  <c r="AI19" i="1" s="1"/>
  <c r="AK19" i="1" s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E20" i="1"/>
  <c r="AH20" i="1" s="1"/>
  <c r="AJ20" i="1" s="1"/>
  <c r="F20" i="1"/>
  <c r="AI20" i="1" s="1"/>
  <c r="AK20" i="1" s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E21" i="1"/>
  <c r="AH21" i="1" s="1"/>
  <c r="AJ21" i="1" s="1"/>
  <c r="F21" i="1"/>
  <c r="AI21" i="1" s="1"/>
  <c r="AK21" i="1" s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E22" i="1"/>
  <c r="AH22" i="1" s="1"/>
  <c r="AJ22" i="1" s="1"/>
  <c r="F22" i="1"/>
  <c r="AI22" i="1" s="1"/>
  <c r="AK22" i="1" s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E23" i="1"/>
  <c r="AH23" i="1" s="1"/>
  <c r="AJ23" i="1" s="1"/>
  <c r="F23" i="1"/>
  <c r="AI23" i="1" s="1"/>
  <c r="AK23" i="1" s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U4" i="1"/>
  <c r="V4" i="1"/>
  <c r="AL61" i="1" l="1"/>
  <c r="AL79" i="1"/>
  <c r="AL83" i="1"/>
  <c r="AL89" i="1"/>
  <c r="AM56" i="1"/>
  <c r="AM66" i="1"/>
  <c r="AM72" i="1"/>
  <c r="AL69" i="1"/>
  <c r="AM62" i="1"/>
  <c r="AL63" i="1"/>
  <c r="AL73" i="1"/>
  <c r="AM74" i="1"/>
  <c r="AM70" i="1"/>
  <c r="AM103" i="1"/>
  <c r="AM93" i="1"/>
  <c r="AM81" i="1"/>
  <c r="AM91" i="1"/>
  <c r="AL71" i="1"/>
  <c r="AM77" i="1"/>
  <c r="AL65" i="1"/>
  <c r="AM83" i="1"/>
  <c r="AM102" i="1"/>
  <c r="AM55" i="1"/>
  <c r="AM63" i="1"/>
  <c r="AL59" i="1"/>
  <c r="AM82" i="1"/>
  <c r="AM86" i="1"/>
  <c r="AM96" i="1"/>
  <c r="AM84" i="1"/>
  <c r="AL70" i="1"/>
  <c r="AL64" i="1"/>
  <c r="AL67" i="1"/>
  <c r="AL103" i="1"/>
  <c r="AL91" i="1"/>
  <c r="AL101" i="1"/>
  <c r="AL54" i="1"/>
  <c r="AL99" i="1"/>
  <c r="AL55" i="1"/>
  <c r="AM58" i="1"/>
  <c r="AM68" i="1"/>
  <c r="AL81" i="1"/>
  <c r="AM92" i="1"/>
  <c r="AL77" i="1"/>
  <c r="AL66" i="1"/>
  <c r="AL76" i="1"/>
  <c r="AL95" i="1"/>
  <c r="AM94" i="1"/>
  <c r="AL60" i="1"/>
  <c r="AL85" i="1"/>
  <c r="AL78" i="1"/>
  <c r="AL87" i="1"/>
  <c r="AM98" i="1"/>
  <c r="AM80" i="1"/>
  <c r="AL93" i="1"/>
  <c r="AL74" i="1"/>
  <c r="AL82" i="1"/>
  <c r="AM76" i="1"/>
  <c r="AL94" i="1"/>
  <c r="AL88" i="1"/>
  <c r="AM87" i="1"/>
  <c r="AL57" i="1"/>
  <c r="AL86" i="1"/>
  <c r="AM79" i="1"/>
  <c r="AL75" i="1"/>
  <c r="AL68" i="1"/>
  <c r="AL72" i="1"/>
  <c r="AL97" i="1"/>
  <c r="AM90" i="1"/>
  <c r="AM78" i="1"/>
  <c r="AM64" i="1"/>
  <c r="A1" i="1"/>
  <c r="AH1" i="1"/>
  <c r="AM18" i="1"/>
  <c r="AM24" i="1"/>
  <c r="AM36" i="1"/>
  <c r="AM10" i="1"/>
  <c r="AM44" i="1"/>
  <c r="AL20" i="1"/>
  <c r="AL22" i="1"/>
  <c r="AM32" i="1"/>
  <c r="AM22" i="1"/>
  <c r="AL16" i="1"/>
  <c r="AM38" i="1"/>
  <c r="AL40" i="1"/>
  <c r="AL6" i="1"/>
  <c r="X19" i="1"/>
  <c r="Y19" i="1" s="1"/>
  <c r="X17" i="1"/>
  <c r="X15" i="1"/>
  <c r="X13" i="1"/>
  <c r="Z13" i="1" s="1"/>
  <c r="X11" i="1"/>
  <c r="Y11" i="1" s="1"/>
  <c r="X9" i="1"/>
  <c r="X7" i="1"/>
  <c r="X5" i="1"/>
  <c r="Z5" i="1" s="1"/>
  <c r="X47" i="1"/>
  <c r="Y47" i="1" s="1"/>
  <c r="X45" i="1"/>
  <c r="X43" i="1"/>
  <c r="X41" i="1"/>
  <c r="Z41" i="1" s="1"/>
  <c r="X39" i="1"/>
  <c r="Y39" i="1" s="1"/>
  <c r="X37" i="1"/>
  <c r="X35" i="1"/>
  <c r="X33" i="1"/>
  <c r="Z33" i="1" s="1"/>
  <c r="X31" i="1"/>
  <c r="Y31" i="1" s="1"/>
  <c r="X29" i="1"/>
  <c r="X27" i="1"/>
  <c r="X25" i="1"/>
  <c r="Z25" i="1" s="1"/>
  <c r="AL10" i="1"/>
  <c r="AL18" i="1"/>
  <c r="AL31" i="1"/>
  <c r="AM45" i="1"/>
  <c r="AM37" i="1"/>
  <c r="AM39" i="1"/>
  <c r="AM11" i="1"/>
  <c r="AL39" i="1"/>
  <c r="AL41" i="1"/>
  <c r="AM52" i="1"/>
  <c r="AM42" i="1"/>
  <c r="AM12" i="1"/>
  <c r="AL52" i="1"/>
  <c r="AL5" i="1"/>
  <c r="AL19" i="1"/>
  <c r="AM26" i="1"/>
  <c r="AM53" i="1"/>
  <c r="AL27" i="1"/>
  <c r="AM40" i="1"/>
  <c r="AL25" i="1"/>
  <c r="AM29" i="1"/>
  <c r="AL44" i="1"/>
  <c r="AM33" i="1"/>
  <c r="AL49" i="1"/>
  <c r="AL34" i="1"/>
  <c r="AM49" i="1"/>
  <c r="AM16" i="1"/>
  <c r="AM14" i="1"/>
  <c r="AM30" i="1"/>
  <c r="A2" i="1"/>
  <c r="AH2" i="1"/>
  <c r="AM28" i="1"/>
  <c r="AM50" i="1"/>
  <c r="AM34" i="1"/>
  <c r="AM48" i="1"/>
  <c r="X23" i="1"/>
  <c r="X21" i="1"/>
  <c r="Z21" i="1" s="1"/>
  <c r="AL38" i="1"/>
  <c r="AL12" i="1"/>
  <c r="AL42" i="1"/>
  <c r="AL32" i="1"/>
  <c r="AL36" i="1"/>
  <c r="AM27" i="1"/>
  <c r="AM20" i="1"/>
  <c r="AL17" i="1"/>
  <c r="AL33" i="1"/>
  <c r="AL15" i="1"/>
  <c r="AM17" i="1"/>
  <c r="AM46" i="1"/>
  <c r="AM5" i="1"/>
  <c r="AM23" i="1"/>
  <c r="AL51" i="1"/>
  <c r="AM15" i="1"/>
  <c r="AL43" i="1"/>
  <c r="AM8" i="1"/>
  <c r="AL46" i="1"/>
  <c r="AM21" i="1"/>
  <c r="AM6" i="1"/>
  <c r="C11" i="6"/>
  <c r="D10" i="6"/>
  <c r="X100" i="1"/>
  <c r="Z100" i="1" s="1"/>
  <c r="X98" i="1"/>
  <c r="Z98" i="1" s="1"/>
  <c r="X96" i="1"/>
  <c r="Z96" i="1" s="1"/>
  <c r="X94" i="1"/>
  <c r="X92" i="1"/>
  <c r="Z92" i="1" s="1"/>
  <c r="X90" i="1"/>
  <c r="X88" i="1"/>
  <c r="Z88" i="1" s="1"/>
  <c r="X86" i="1"/>
  <c r="X84" i="1"/>
  <c r="Z84" i="1" s="1"/>
  <c r="X82" i="1"/>
  <c r="Z82" i="1" s="1"/>
  <c r="X80" i="1"/>
  <c r="Z80" i="1" s="1"/>
  <c r="X78" i="1"/>
  <c r="Z78" i="1" s="1"/>
  <c r="X76" i="1"/>
  <c r="Z76" i="1" s="1"/>
  <c r="X74" i="1"/>
  <c r="Z74" i="1" s="1"/>
  <c r="X72" i="1"/>
  <c r="X70" i="1"/>
  <c r="Z70" i="1" s="1"/>
  <c r="X68" i="1"/>
  <c r="Z68" i="1" s="1"/>
  <c r="X66" i="1"/>
  <c r="Z66" i="1" s="1"/>
  <c r="X64" i="1"/>
  <c r="Z64" i="1" s="1"/>
  <c r="X62" i="1"/>
  <c r="Z62" i="1" s="1"/>
  <c r="X60" i="1"/>
  <c r="Z60" i="1" s="1"/>
  <c r="X58" i="1"/>
  <c r="Z58" i="1" s="1"/>
  <c r="X53" i="1"/>
  <c r="Y53" i="1" s="1"/>
  <c r="X51" i="1"/>
  <c r="Z51" i="1" s="1"/>
  <c r="X49" i="1"/>
  <c r="Z49" i="1" s="1"/>
  <c r="Z72" i="1"/>
  <c r="Y100" i="1"/>
  <c r="Y98" i="1"/>
  <c r="Y96" i="1"/>
  <c r="Y94" i="1"/>
  <c r="Y92" i="1"/>
  <c r="Y90" i="1"/>
  <c r="Y88" i="1"/>
  <c r="Y86" i="1"/>
  <c r="Y84" i="1"/>
  <c r="Y82" i="1"/>
  <c r="Y80" i="1"/>
  <c r="Y78" i="1"/>
  <c r="Y76" i="1"/>
  <c r="Y74" i="1"/>
  <c r="Y72" i="1"/>
  <c r="AA72" i="1" s="1"/>
  <c r="Y70" i="1"/>
  <c r="Y68" i="1"/>
  <c r="Y66" i="1"/>
  <c r="Y64" i="1"/>
  <c r="Y62" i="1"/>
  <c r="Y60" i="1"/>
  <c r="Y58" i="1"/>
  <c r="Z94" i="1"/>
  <c r="Z90" i="1"/>
  <c r="Z23" i="1"/>
  <c r="Z17" i="1"/>
  <c r="Z15" i="1"/>
  <c r="Z9" i="1"/>
  <c r="Z7" i="1"/>
  <c r="Z45" i="1"/>
  <c r="Z43" i="1"/>
  <c r="Z37" i="1"/>
  <c r="Z35" i="1"/>
  <c r="Z29" i="1"/>
  <c r="Z27" i="1"/>
  <c r="Z86" i="1"/>
  <c r="Y23" i="1"/>
  <c r="Y21" i="1"/>
  <c r="Y17" i="1"/>
  <c r="Y15" i="1"/>
  <c r="Y13" i="1"/>
  <c r="Y9" i="1"/>
  <c r="Y7" i="1"/>
  <c r="Y5" i="1"/>
  <c r="Y45" i="1"/>
  <c r="Y43" i="1"/>
  <c r="Y41" i="1"/>
  <c r="Y37" i="1"/>
  <c r="Y35" i="1"/>
  <c r="Y33" i="1"/>
  <c r="Y29" i="1"/>
  <c r="Y27" i="1"/>
  <c r="Y25" i="1"/>
  <c r="Y99" i="1"/>
  <c r="AA99" i="1" s="1"/>
  <c r="X20" i="1"/>
  <c r="Z20" i="1" s="1"/>
  <c r="X18" i="1"/>
  <c r="Y18" i="1" s="1"/>
  <c r="X16" i="1"/>
  <c r="Z16" i="1" s="1"/>
  <c r="X14" i="1"/>
  <c r="Y14" i="1" s="1"/>
  <c r="X12" i="1"/>
  <c r="Z12" i="1" s="1"/>
  <c r="X10" i="1"/>
  <c r="Y10" i="1" s="1"/>
  <c r="X8" i="1"/>
  <c r="Z8" i="1" s="1"/>
  <c r="X6" i="1"/>
  <c r="Y6" i="1" s="1"/>
  <c r="X48" i="1"/>
  <c r="Z48" i="1" s="1"/>
  <c r="X46" i="1"/>
  <c r="Y46" i="1" s="1"/>
  <c r="X44" i="1"/>
  <c r="Z44" i="1" s="1"/>
  <c r="X42" i="1"/>
  <c r="Y42" i="1" s="1"/>
  <c r="X40" i="1"/>
  <c r="Y40" i="1" s="1"/>
  <c r="X38" i="1"/>
  <c r="Y38" i="1" s="1"/>
  <c r="X36" i="1"/>
  <c r="Y36" i="1" s="1"/>
  <c r="X34" i="1"/>
  <c r="Y34" i="1" s="1"/>
  <c r="X32" i="1"/>
  <c r="Z32" i="1" s="1"/>
  <c r="X30" i="1"/>
  <c r="Z30" i="1" s="1"/>
  <c r="X28" i="1"/>
  <c r="Z28" i="1" s="1"/>
  <c r="X26" i="1"/>
  <c r="Z26" i="1" s="1"/>
  <c r="X24" i="1"/>
  <c r="Z24" i="1" s="1"/>
  <c r="X52" i="1"/>
  <c r="Y52" i="1" s="1"/>
  <c r="X50" i="1"/>
  <c r="Z50" i="1" s="1"/>
  <c r="X102" i="1"/>
  <c r="Z102" i="1" s="1"/>
  <c r="X56" i="1"/>
  <c r="Z56" i="1" s="1"/>
  <c r="X22" i="1"/>
  <c r="Z22" i="1" s="1"/>
  <c r="X103" i="1"/>
  <c r="Z103" i="1" s="1"/>
  <c r="X101" i="1"/>
  <c r="Z101" i="1" s="1"/>
  <c r="X99" i="1"/>
  <c r="Z99" i="1" s="1"/>
  <c r="X97" i="1"/>
  <c r="Z97" i="1" s="1"/>
  <c r="X95" i="1"/>
  <c r="Y95" i="1" s="1"/>
  <c r="X93" i="1"/>
  <c r="Z93" i="1" s="1"/>
  <c r="X91" i="1"/>
  <c r="Z91" i="1" s="1"/>
  <c r="X89" i="1"/>
  <c r="Z89" i="1" s="1"/>
  <c r="X87" i="1"/>
  <c r="Z87" i="1" s="1"/>
  <c r="X85" i="1"/>
  <c r="Z85" i="1" s="1"/>
  <c r="X83" i="1"/>
  <c r="Z83" i="1" s="1"/>
  <c r="X81" i="1"/>
  <c r="Z81" i="1" s="1"/>
  <c r="X79" i="1"/>
  <c r="Y79" i="1" s="1"/>
  <c r="X77" i="1"/>
  <c r="Z77" i="1" s="1"/>
  <c r="X75" i="1"/>
  <c r="Z75" i="1" s="1"/>
  <c r="X73" i="1"/>
  <c r="Z73" i="1" s="1"/>
  <c r="X71" i="1"/>
  <c r="Y71" i="1" s="1"/>
  <c r="X69" i="1"/>
  <c r="Z69" i="1" s="1"/>
  <c r="X67" i="1"/>
  <c r="Z67" i="1" s="1"/>
  <c r="X65" i="1"/>
  <c r="Z65" i="1" s="1"/>
  <c r="X61" i="1"/>
  <c r="Z61" i="1" s="1"/>
  <c r="X57" i="1"/>
  <c r="Z57" i="1" s="1"/>
  <c r="X54" i="1"/>
  <c r="Z54" i="1" s="1"/>
  <c r="X63" i="1"/>
  <c r="Y63" i="1" s="1"/>
  <c r="X59" i="1"/>
  <c r="Z59" i="1" s="1"/>
  <c r="X55" i="1"/>
  <c r="Y55" i="1" s="1"/>
  <c r="A36" i="1"/>
  <c r="AA62" i="1" l="1"/>
  <c r="Y67" i="1"/>
  <c r="AA67" i="1" s="1"/>
  <c r="AA33" i="1"/>
  <c r="AA5" i="1"/>
  <c r="AA21" i="1"/>
  <c r="Y24" i="1"/>
  <c r="AA29" i="1"/>
  <c r="AA37" i="1"/>
  <c r="AA45" i="1"/>
  <c r="AA9" i="1"/>
  <c r="AA17" i="1"/>
  <c r="Z53" i="1"/>
  <c r="Z31" i="1"/>
  <c r="AA31" i="1" s="1"/>
  <c r="Z39" i="1"/>
  <c r="AA39" i="1" s="1"/>
  <c r="Z47" i="1"/>
  <c r="Z11" i="1"/>
  <c r="Z19" i="1"/>
  <c r="AA19" i="1" s="1"/>
  <c r="AA25" i="1"/>
  <c r="AA41" i="1"/>
  <c r="AA13" i="1"/>
  <c r="Z40" i="1"/>
  <c r="AA40" i="1" s="1"/>
  <c r="C12" i="6"/>
  <c r="D11" i="6"/>
  <c r="Y51" i="1"/>
  <c r="AA51" i="1" s="1"/>
  <c r="AA68" i="1"/>
  <c r="AA76" i="1"/>
  <c r="AA82" i="1"/>
  <c r="Y83" i="1"/>
  <c r="AA83" i="1" s="1"/>
  <c r="Y56" i="1"/>
  <c r="AA56" i="1" s="1"/>
  <c r="Y12" i="1"/>
  <c r="Z52" i="1"/>
  <c r="AA52" i="1" s="1"/>
  <c r="AA24" i="1"/>
  <c r="Y73" i="1"/>
  <c r="AA73" i="1" s="1"/>
  <c r="Y89" i="1"/>
  <c r="AA89" i="1" s="1"/>
  <c r="Y49" i="1"/>
  <c r="AA49" i="1" s="1"/>
  <c r="AA27" i="1"/>
  <c r="AA35" i="1"/>
  <c r="AA43" i="1"/>
  <c r="AA7" i="1"/>
  <c r="AA15" i="1"/>
  <c r="AA23" i="1"/>
  <c r="Z38" i="1"/>
  <c r="AA38" i="1" s="1"/>
  <c r="Z63" i="1"/>
  <c r="AA63" i="1" s="1"/>
  <c r="Y54" i="1"/>
  <c r="AA54" i="1" s="1"/>
  <c r="AA58" i="1"/>
  <c r="AA66" i="1"/>
  <c r="AA74" i="1"/>
  <c r="AA90" i="1"/>
  <c r="AA98" i="1"/>
  <c r="Y32" i="1"/>
  <c r="AA32" i="1" s="1"/>
  <c r="Y20" i="1"/>
  <c r="AA20" i="1" s="1"/>
  <c r="AA64" i="1"/>
  <c r="AA96" i="1"/>
  <c r="Y75" i="1"/>
  <c r="AA75" i="1" s="1"/>
  <c r="Y91" i="1"/>
  <c r="AA91" i="1" s="1"/>
  <c r="Z10" i="1"/>
  <c r="AA10" i="1" s="1"/>
  <c r="AA60" i="1"/>
  <c r="AA84" i="1"/>
  <c r="AA92" i="1"/>
  <c r="AA100" i="1"/>
  <c r="Z18" i="1"/>
  <c r="AA18" i="1" s="1"/>
  <c r="AA80" i="1"/>
  <c r="AA12" i="1"/>
  <c r="Y65" i="1"/>
  <c r="AA65" i="1" s="1"/>
  <c r="Y81" i="1"/>
  <c r="AA81" i="1" s="1"/>
  <c r="Y97" i="1"/>
  <c r="AA97" i="1" s="1"/>
  <c r="AA53" i="1"/>
  <c r="AA47" i="1"/>
  <c r="AA11" i="1"/>
  <c r="AA70" i="1"/>
  <c r="AA78" i="1"/>
  <c r="AA86" i="1"/>
  <c r="AA94" i="1"/>
  <c r="Y48" i="1"/>
  <c r="AA48" i="1" s="1"/>
  <c r="AA88" i="1"/>
  <c r="Y57" i="1"/>
  <c r="AA57" i="1" s="1"/>
  <c r="Z55" i="1"/>
  <c r="AA55" i="1" s="1"/>
  <c r="Z71" i="1"/>
  <c r="AA71" i="1" s="1"/>
  <c r="Z79" i="1"/>
  <c r="AA79" i="1" s="1"/>
  <c r="Z95" i="1"/>
  <c r="AA95" i="1" s="1"/>
  <c r="Y59" i="1"/>
  <c r="AA59" i="1" s="1"/>
  <c r="Z46" i="1"/>
  <c r="AA46" i="1" s="1"/>
  <c r="Z36" i="1"/>
  <c r="AA36" i="1" s="1"/>
  <c r="Y50" i="1"/>
  <c r="AA50" i="1" s="1"/>
  <c r="Y28" i="1"/>
  <c r="AA28" i="1" s="1"/>
  <c r="Y44" i="1"/>
  <c r="AA44" i="1" s="1"/>
  <c r="Y8" i="1"/>
  <c r="AA8" i="1" s="1"/>
  <c r="Y16" i="1"/>
  <c r="AA16" i="1" s="1"/>
  <c r="Z6" i="1"/>
  <c r="AA6" i="1" s="1"/>
  <c r="Y61" i="1"/>
  <c r="AA61" i="1" s="1"/>
  <c r="Y69" i="1"/>
  <c r="AA69" i="1" s="1"/>
  <c r="Y77" i="1"/>
  <c r="AA77" i="1" s="1"/>
  <c r="Y85" i="1"/>
  <c r="AA85" i="1" s="1"/>
  <c r="Y93" i="1"/>
  <c r="AA93" i="1" s="1"/>
  <c r="Y101" i="1"/>
  <c r="AA101" i="1" s="1"/>
  <c r="Z14" i="1"/>
  <c r="AA14" i="1" s="1"/>
  <c r="Z42" i="1"/>
  <c r="AA42" i="1" s="1"/>
  <c r="Y30" i="1"/>
  <c r="AA30" i="1" s="1"/>
  <c r="Y87" i="1"/>
  <c r="AA87" i="1" s="1"/>
  <c r="Y103" i="1"/>
  <c r="AA103" i="1" s="1"/>
  <c r="Y102" i="1"/>
  <c r="AA102" i="1" s="1"/>
  <c r="Z34" i="1"/>
  <c r="AA34" i="1" s="1"/>
  <c r="Y26" i="1"/>
  <c r="AA26" i="1" s="1"/>
  <c r="Y22" i="1"/>
  <c r="AA22" i="1" s="1"/>
  <c r="AD3" i="1"/>
  <c r="C13" i="6" l="1"/>
  <c r="D12" i="6"/>
  <c r="B55" i="1"/>
  <c r="C55" i="1"/>
  <c r="D55" i="1"/>
  <c r="B56" i="1"/>
  <c r="C56" i="1"/>
  <c r="D56" i="1"/>
  <c r="B57" i="1"/>
  <c r="C57" i="1"/>
  <c r="D57" i="1"/>
  <c r="B58" i="1"/>
  <c r="C58" i="1"/>
  <c r="D58" i="1"/>
  <c r="B59" i="1"/>
  <c r="C59" i="1"/>
  <c r="D59" i="1"/>
  <c r="B60" i="1"/>
  <c r="C60" i="1"/>
  <c r="D60" i="1"/>
  <c r="B61" i="1"/>
  <c r="C61" i="1"/>
  <c r="D61" i="1"/>
  <c r="B62" i="1"/>
  <c r="C62" i="1"/>
  <c r="D62" i="1"/>
  <c r="B63" i="1"/>
  <c r="C63" i="1"/>
  <c r="D63" i="1"/>
  <c r="B64" i="1"/>
  <c r="C64" i="1"/>
  <c r="D64" i="1"/>
  <c r="B65" i="1"/>
  <c r="C65" i="1"/>
  <c r="D65" i="1"/>
  <c r="B66" i="1"/>
  <c r="C66" i="1"/>
  <c r="D66" i="1"/>
  <c r="B67" i="1"/>
  <c r="C67" i="1"/>
  <c r="D67" i="1"/>
  <c r="B68" i="1"/>
  <c r="C68" i="1"/>
  <c r="D68" i="1"/>
  <c r="B69" i="1"/>
  <c r="C69" i="1"/>
  <c r="D69" i="1"/>
  <c r="B70" i="1"/>
  <c r="C70" i="1"/>
  <c r="D70" i="1"/>
  <c r="B71" i="1"/>
  <c r="C71" i="1"/>
  <c r="D71" i="1"/>
  <c r="B72" i="1"/>
  <c r="C72" i="1"/>
  <c r="D72" i="1"/>
  <c r="B73" i="1"/>
  <c r="C73" i="1"/>
  <c r="D73" i="1"/>
  <c r="B74" i="1"/>
  <c r="C74" i="1"/>
  <c r="D74" i="1"/>
  <c r="B75" i="1"/>
  <c r="C75" i="1"/>
  <c r="D75" i="1"/>
  <c r="B76" i="1"/>
  <c r="C76" i="1"/>
  <c r="D76" i="1"/>
  <c r="B77" i="1"/>
  <c r="C77" i="1"/>
  <c r="D77" i="1"/>
  <c r="B78" i="1"/>
  <c r="C78" i="1"/>
  <c r="D78" i="1"/>
  <c r="B79" i="1"/>
  <c r="C79" i="1"/>
  <c r="D79" i="1"/>
  <c r="B80" i="1"/>
  <c r="C80" i="1"/>
  <c r="D80" i="1"/>
  <c r="B81" i="1"/>
  <c r="C81" i="1"/>
  <c r="D81" i="1"/>
  <c r="B82" i="1"/>
  <c r="C82" i="1"/>
  <c r="D82" i="1"/>
  <c r="B83" i="1"/>
  <c r="C83" i="1"/>
  <c r="D83" i="1"/>
  <c r="B84" i="1"/>
  <c r="C84" i="1"/>
  <c r="D84" i="1"/>
  <c r="B85" i="1"/>
  <c r="C85" i="1"/>
  <c r="D85" i="1"/>
  <c r="B86" i="1"/>
  <c r="C86" i="1"/>
  <c r="D86" i="1"/>
  <c r="B87" i="1"/>
  <c r="C87" i="1"/>
  <c r="D87" i="1"/>
  <c r="B88" i="1"/>
  <c r="C88" i="1"/>
  <c r="D88" i="1"/>
  <c r="B89" i="1"/>
  <c r="C89" i="1"/>
  <c r="D89" i="1"/>
  <c r="B90" i="1"/>
  <c r="C90" i="1"/>
  <c r="D90" i="1"/>
  <c r="B91" i="1"/>
  <c r="C91" i="1"/>
  <c r="D91" i="1"/>
  <c r="B92" i="1"/>
  <c r="C92" i="1"/>
  <c r="D92" i="1"/>
  <c r="B93" i="1"/>
  <c r="C93" i="1"/>
  <c r="D93" i="1"/>
  <c r="B94" i="1"/>
  <c r="C94" i="1"/>
  <c r="D94" i="1"/>
  <c r="B95" i="1"/>
  <c r="C95" i="1"/>
  <c r="D95" i="1"/>
  <c r="B96" i="1"/>
  <c r="C96" i="1"/>
  <c r="D96" i="1"/>
  <c r="B97" i="1"/>
  <c r="C97" i="1"/>
  <c r="D97" i="1"/>
  <c r="B98" i="1"/>
  <c r="C98" i="1"/>
  <c r="D98" i="1"/>
  <c r="B99" i="1"/>
  <c r="C99" i="1"/>
  <c r="D99" i="1"/>
  <c r="B100" i="1"/>
  <c r="C100" i="1"/>
  <c r="D100" i="1"/>
  <c r="B101" i="1"/>
  <c r="C101" i="1"/>
  <c r="D101" i="1"/>
  <c r="B102" i="1"/>
  <c r="C102" i="1"/>
  <c r="D102" i="1"/>
  <c r="B103" i="1"/>
  <c r="C103" i="1"/>
  <c r="D103" i="1"/>
  <c r="B54" i="1"/>
  <c r="C54" i="1"/>
  <c r="D54" i="1"/>
  <c r="A101" i="1"/>
  <c r="A102" i="1"/>
  <c r="A103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54" i="1"/>
  <c r="C14" i="6" l="1"/>
  <c r="D13" i="6"/>
  <c r="AC54" i="1"/>
  <c r="AC100" i="1"/>
  <c r="AC96" i="1"/>
  <c r="AC92" i="1"/>
  <c r="AC88" i="1"/>
  <c r="AC84" i="1"/>
  <c r="AC80" i="1"/>
  <c r="AC76" i="1"/>
  <c r="AC72" i="1"/>
  <c r="AC68" i="1"/>
  <c r="AC64" i="1"/>
  <c r="AC60" i="1"/>
  <c r="AC56" i="1"/>
  <c r="AC81" i="1"/>
  <c r="AC101" i="1"/>
  <c r="AC97" i="1"/>
  <c r="AC93" i="1"/>
  <c r="AC89" i="1"/>
  <c r="AC85" i="1"/>
  <c r="AC77" i="1"/>
  <c r="AC73" i="1"/>
  <c r="AC69" i="1"/>
  <c r="AC65" i="1"/>
  <c r="AC61" i="1"/>
  <c r="AC57" i="1"/>
  <c r="AC102" i="1"/>
  <c r="AC98" i="1"/>
  <c r="AC94" i="1"/>
  <c r="AC90" i="1"/>
  <c r="AC86" i="1"/>
  <c r="AC82" i="1"/>
  <c r="AC78" i="1"/>
  <c r="AC74" i="1"/>
  <c r="AC70" i="1"/>
  <c r="AC66" i="1"/>
  <c r="AC62" i="1"/>
  <c r="AC58" i="1"/>
  <c r="AC103" i="1"/>
  <c r="AC99" i="1"/>
  <c r="AC95" i="1"/>
  <c r="AC91" i="1"/>
  <c r="AC87" i="1"/>
  <c r="AC83" i="1"/>
  <c r="AC79" i="1"/>
  <c r="AC75" i="1"/>
  <c r="AC71" i="1"/>
  <c r="AC67" i="1"/>
  <c r="AC63" i="1"/>
  <c r="AC59" i="1"/>
  <c r="AC55" i="1"/>
  <c r="AE61" i="1"/>
  <c r="AF61" i="1" s="1"/>
  <c r="AE84" i="1"/>
  <c r="AE59" i="1"/>
  <c r="AE78" i="1"/>
  <c r="AG78" i="1" s="1"/>
  <c r="AD102" i="1"/>
  <c r="AE64" i="1"/>
  <c r="AE81" i="1"/>
  <c r="AE102" i="1"/>
  <c r="AG102" i="1" s="1"/>
  <c r="AE80" i="1"/>
  <c r="AE103" i="1"/>
  <c r="AE62" i="1"/>
  <c r="AE91" i="1"/>
  <c r="AE79" i="1"/>
  <c r="AG79" i="1" s="1"/>
  <c r="AD81" i="1"/>
  <c r="AD79" i="1"/>
  <c r="AD67" i="1"/>
  <c r="AD65" i="1"/>
  <c r="AD103" i="1"/>
  <c r="AD61" i="1"/>
  <c r="W103" i="1"/>
  <c r="W102" i="1"/>
  <c r="W101" i="1"/>
  <c r="W94" i="1"/>
  <c r="W99" i="1"/>
  <c r="C9" i="1"/>
  <c r="D9" i="1"/>
  <c r="B9" i="1"/>
  <c r="A9" i="1"/>
  <c r="AD95" i="1" s="1"/>
  <c r="A5" i="1"/>
  <c r="AD5" i="1" s="1"/>
  <c r="A6" i="1"/>
  <c r="A7" i="1"/>
  <c r="AD7" i="1" s="1"/>
  <c r="A8" i="1"/>
  <c r="AD56" i="1" s="1"/>
  <c r="A10" i="1"/>
  <c r="AD10" i="1" s="1"/>
  <c r="A11" i="1"/>
  <c r="A12" i="1"/>
  <c r="A13" i="1"/>
  <c r="A14" i="1"/>
  <c r="AD92" i="1" s="1"/>
  <c r="A15" i="1"/>
  <c r="AD66" i="1" s="1"/>
  <c r="A16" i="1"/>
  <c r="AD62" i="1" s="1"/>
  <c r="A17" i="1"/>
  <c r="A19" i="1"/>
  <c r="A18" i="1"/>
  <c r="AD18" i="1" s="1"/>
  <c r="A20" i="1"/>
  <c r="A21" i="1"/>
  <c r="A22" i="1"/>
  <c r="A23" i="1"/>
  <c r="A24" i="1"/>
  <c r="A25" i="1"/>
  <c r="AD25" i="1" s="1"/>
  <c r="A26" i="1"/>
  <c r="AD26" i="1" s="1"/>
  <c r="A27" i="1"/>
  <c r="A28" i="1"/>
  <c r="A29" i="1"/>
  <c r="AD98" i="1" s="1"/>
  <c r="A30" i="1"/>
  <c r="A31" i="1"/>
  <c r="A32" i="1"/>
  <c r="A33" i="1"/>
  <c r="AD101" i="1" s="1"/>
  <c r="A34" i="1"/>
  <c r="A35" i="1"/>
  <c r="AD36" i="1"/>
  <c r="A37" i="1"/>
  <c r="A38" i="1"/>
  <c r="A39" i="1"/>
  <c r="AD39" i="1" s="1"/>
  <c r="A40" i="1"/>
  <c r="AD40" i="1" s="1"/>
  <c r="A41" i="1"/>
  <c r="AD99" i="1" s="1"/>
  <c r="A42" i="1"/>
  <c r="A43" i="1"/>
  <c r="AD43" i="1" s="1"/>
  <c r="A44" i="1"/>
  <c r="A45" i="1"/>
  <c r="AD87" i="1" s="1"/>
  <c r="A46" i="1"/>
  <c r="A47" i="1"/>
  <c r="AD47" i="1" s="1"/>
  <c r="A48" i="1"/>
  <c r="A49" i="1"/>
  <c r="AD49" i="1" s="1"/>
  <c r="A50" i="1"/>
  <c r="A51" i="1"/>
  <c r="A52" i="1"/>
  <c r="AD52" i="1" s="1"/>
  <c r="A53" i="1"/>
  <c r="B10" i="1"/>
  <c r="B11" i="1"/>
  <c r="B12" i="1"/>
  <c r="B13" i="1"/>
  <c r="B14" i="1"/>
  <c r="B15" i="1"/>
  <c r="B16" i="1"/>
  <c r="B17" i="1"/>
  <c r="B19" i="1"/>
  <c r="B18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C15" i="6" l="1"/>
  <c r="D14" i="6"/>
  <c r="AE52" i="1"/>
  <c r="AG52" i="1" s="1"/>
  <c r="AE12" i="1"/>
  <c r="AF12" i="1" s="1"/>
  <c r="AE40" i="1"/>
  <c r="AE63" i="1"/>
  <c r="AE75" i="1"/>
  <c r="AE20" i="1"/>
  <c r="AF20" i="1" s="1"/>
  <c r="AE47" i="1"/>
  <c r="AG47" i="1" s="1"/>
  <c r="AE39" i="1"/>
  <c r="AG39" i="1" s="1"/>
  <c r="AE18" i="1"/>
  <c r="AE76" i="1"/>
  <c r="AE58" i="1"/>
  <c r="AE70" i="1"/>
  <c r="AE36" i="1"/>
  <c r="AF36" i="1" s="1"/>
  <c r="AE95" i="1"/>
  <c r="AG95" i="1" s="1"/>
  <c r="AC9" i="1"/>
  <c r="AE54" i="1"/>
  <c r="AE89" i="1"/>
  <c r="AE83" i="1"/>
  <c r="AE66" i="1"/>
  <c r="AF66" i="1" s="1"/>
  <c r="AE57" i="1"/>
  <c r="AG57" i="1" s="1"/>
  <c r="AE82" i="1"/>
  <c r="AE68" i="1"/>
  <c r="AE100" i="1"/>
  <c r="AE72" i="1"/>
  <c r="AE101" i="1"/>
  <c r="AG101" i="1" s="1"/>
  <c r="AE98" i="1"/>
  <c r="AG98" i="1" s="1"/>
  <c r="AE25" i="1"/>
  <c r="AE60" i="1"/>
  <c r="AE13" i="1"/>
  <c r="AG13" i="1" s="1"/>
  <c r="AE99" i="1"/>
  <c r="AF99" i="1" s="1"/>
  <c r="AE48" i="1"/>
  <c r="AG48" i="1" s="1"/>
  <c r="AD90" i="1"/>
  <c r="AE51" i="1"/>
  <c r="AG51" i="1" s="1"/>
  <c r="AD75" i="1"/>
  <c r="AD6" i="1"/>
  <c r="AE97" i="1"/>
  <c r="AE65" i="1"/>
  <c r="AE73" i="1"/>
  <c r="AE90" i="1"/>
  <c r="AF90" i="1" s="1"/>
  <c r="AE24" i="1"/>
  <c r="AG24" i="1" s="1"/>
  <c r="AD48" i="1"/>
  <c r="AD24" i="1"/>
  <c r="AE55" i="1"/>
  <c r="AG55" i="1" s="1"/>
  <c r="AE14" i="1"/>
  <c r="AG14" i="1" s="1"/>
  <c r="AD34" i="1"/>
  <c r="AD19" i="1"/>
  <c r="AD78" i="1"/>
  <c r="AE85" i="1"/>
  <c r="AE87" i="1"/>
  <c r="AG87" i="1" s="1"/>
  <c r="AF81" i="1"/>
  <c r="AF79" i="1"/>
  <c r="AF103" i="1"/>
  <c r="AG81" i="1"/>
  <c r="AG103" i="1"/>
  <c r="AF102" i="1"/>
  <c r="AE21" i="1"/>
  <c r="AF21" i="1" s="1"/>
  <c r="AE32" i="1"/>
  <c r="AG32" i="1" s="1"/>
  <c r="AF101" i="1"/>
  <c r="AG66" i="1"/>
  <c r="AE42" i="1"/>
  <c r="AG42" i="1" s="1"/>
  <c r="AE34" i="1"/>
  <c r="AG34" i="1" s="1"/>
  <c r="AE30" i="1"/>
  <c r="AF30" i="1" s="1"/>
  <c r="AE49" i="1"/>
  <c r="AG49" i="1" s="1"/>
  <c r="AE45" i="1"/>
  <c r="AG45" i="1" s="1"/>
  <c r="AE37" i="1"/>
  <c r="AG37" i="1" s="1"/>
  <c r="AE28" i="1"/>
  <c r="AG28" i="1" s="1"/>
  <c r="AE29" i="1"/>
  <c r="AG29" i="1" s="1"/>
  <c r="AE50" i="1"/>
  <c r="AE43" i="1"/>
  <c r="AG43" i="1" s="1"/>
  <c r="AE44" i="1"/>
  <c r="AG44" i="1" s="1"/>
  <c r="AE19" i="1"/>
  <c r="AG19" i="1" s="1"/>
  <c r="AE9" i="1"/>
  <c r="AE11" i="1"/>
  <c r="AG11" i="1" s="1"/>
  <c r="AE41" i="1"/>
  <c r="AG41" i="1" s="1"/>
  <c r="AE38" i="1"/>
  <c r="AG38" i="1" s="1"/>
  <c r="AE22" i="1"/>
  <c r="AG22" i="1" s="1"/>
  <c r="AG36" i="1"/>
  <c r="AE94" i="1"/>
  <c r="AE86" i="1"/>
  <c r="AE33" i="1"/>
  <c r="AG33" i="1" s="1"/>
  <c r="AE67" i="1"/>
  <c r="AE26" i="1"/>
  <c r="AG26" i="1" s="1"/>
  <c r="AE93" i="1"/>
  <c r="AG18" i="1"/>
  <c r="AE71" i="1"/>
  <c r="AD57" i="1"/>
  <c r="AD35" i="1"/>
  <c r="AD27" i="1"/>
  <c r="AD94" i="1"/>
  <c r="AD88" i="1"/>
  <c r="AE35" i="1"/>
  <c r="AG35" i="1" s="1"/>
  <c r="AG40" i="1"/>
  <c r="AE46" i="1"/>
  <c r="AG46" i="1" s="1"/>
  <c r="AE53" i="1"/>
  <c r="AG53" i="1" s="1"/>
  <c r="AE27" i="1"/>
  <c r="AG27" i="1" s="1"/>
  <c r="AE77" i="1"/>
  <c r="AE69" i="1"/>
  <c r="AE17" i="1"/>
  <c r="AG17" i="1" s="1"/>
  <c r="AE23" i="1"/>
  <c r="AG23" i="1" s="1"/>
  <c r="AE31" i="1"/>
  <c r="AG31" i="1" s="1"/>
  <c r="AE92" i="1"/>
  <c r="AD22" i="1"/>
  <c r="AD14" i="1"/>
  <c r="AG25" i="1"/>
  <c r="AE16" i="1"/>
  <c r="AE74" i="1"/>
  <c r="AD21" i="1"/>
  <c r="AD12" i="1"/>
  <c r="AD13" i="1"/>
  <c r="AD58" i="1"/>
  <c r="AD50" i="1"/>
  <c r="AD46" i="1"/>
  <c r="AD42" i="1"/>
  <c r="AD38" i="1"/>
  <c r="AF78" i="1"/>
  <c r="AD72" i="1"/>
  <c r="AD51" i="1"/>
  <c r="AD9" i="1"/>
  <c r="AD93" i="1"/>
  <c r="AG61" i="1"/>
  <c r="AD53" i="1"/>
  <c r="AD84" i="1"/>
  <c r="AD59" i="1"/>
  <c r="AD45" i="1"/>
  <c r="AD82" i="1"/>
  <c r="AD41" i="1"/>
  <c r="AD85" i="1"/>
  <c r="AD37" i="1"/>
  <c r="AD91" i="1"/>
  <c r="AD33" i="1"/>
  <c r="AD64" i="1"/>
  <c r="AD29" i="1"/>
  <c r="AD76" i="1"/>
  <c r="AD17" i="1"/>
  <c r="AD89" i="1"/>
  <c r="AD8" i="1"/>
  <c r="AF62" i="1"/>
  <c r="AG62" i="1"/>
  <c r="AD31" i="1"/>
  <c r="AD23" i="1"/>
  <c r="AD11" i="1"/>
  <c r="AD80" i="1"/>
  <c r="AD100" i="1"/>
  <c r="AD73" i="1"/>
  <c r="AD70" i="1"/>
  <c r="AD86" i="1"/>
  <c r="AD71" i="1"/>
  <c r="AD30" i="1"/>
  <c r="AD68" i="1"/>
  <c r="AD77" i="1"/>
  <c r="AD74" i="1"/>
  <c r="AD63" i="1"/>
  <c r="AD44" i="1"/>
  <c r="AD32" i="1"/>
  <c r="AD28" i="1"/>
  <c r="AD20" i="1"/>
  <c r="AD60" i="1"/>
  <c r="AD96" i="1"/>
  <c r="AD97" i="1"/>
  <c r="AD69" i="1"/>
  <c r="AD54" i="1"/>
  <c r="AD55" i="1"/>
  <c r="AD83" i="1"/>
  <c r="AF18" i="1"/>
  <c r="AF13" i="1"/>
  <c r="W9" i="1"/>
  <c r="AF40" i="1"/>
  <c r="AF25" i="1"/>
  <c r="AF52" i="1" l="1"/>
  <c r="AG20" i="1"/>
  <c r="AG12" i="1"/>
  <c r="C16" i="6"/>
  <c r="D15" i="6"/>
  <c r="AF98" i="1"/>
  <c r="AF57" i="1"/>
  <c r="AF39" i="1"/>
  <c r="AF95" i="1"/>
  <c r="AF47" i="1"/>
  <c r="AF42" i="1"/>
  <c r="AF22" i="1"/>
  <c r="AF48" i="1"/>
  <c r="AG99" i="1"/>
  <c r="AG90" i="1"/>
  <c r="AF55" i="1"/>
  <c r="AF46" i="1"/>
  <c r="AG21" i="1"/>
  <c r="AF24" i="1"/>
  <c r="AF14" i="1"/>
  <c r="AF27" i="1"/>
  <c r="AF19" i="1"/>
  <c r="AF87" i="1"/>
  <c r="AF65" i="1"/>
  <c r="AG65" i="1"/>
  <c r="AF49" i="1"/>
  <c r="AF35" i="1"/>
  <c r="AG30" i="1"/>
  <c r="AF38" i="1"/>
  <c r="AF26" i="1"/>
  <c r="AF17" i="1"/>
  <c r="AF34" i="1"/>
  <c r="AF92" i="1"/>
  <c r="AG92" i="1"/>
  <c r="AG94" i="1"/>
  <c r="AF94" i="1"/>
  <c r="AF67" i="1"/>
  <c r="AG67" i="1"/>
  <c r="AF43" i="1"/>
  <c r="AF31" i="1"/>
  <c r="AF29" i="1"/>
  <c r="AF32" i="1"/>
  <c r="AG58" i="1"/>
  <c r="AF58" i="1"/>
  <c r="AF23" i="1"/>
  <c r="AG68" i="1"/>
  <c r="AF68" i="1"/>
  <c r="AF28" i="1"/>
  <c r="AF37" i="1"/>
  <c r="AF45" i="1"/>
  <c r="AF44" i="1"/>
  <c r="AF53" i="1"/>
  <c r="AF74" i="1"/>
  <c r="AG74" i="1"/>
  <c r="AF11" i="1"/>
  <c r="AF60" i="1"/>
  <c r="AG60" i="1"/>
  <c r="AG63" i="1"/>
  <c r="AF63" i="1"/>
  <c r="AF72" i="1"/>
  <c r="AG72" i="1"/>
  <c r="AF100" i="1"/>
  <c r="AG100" i="1"/>
  <c r="AG54" i="1"/>
  <c r="AF54" i="1"/>
  <c r="AF75" i="1"/>
  <c r="AG75" i="1"/>
  <c r="AG97" i="1"/>
  <c r="AF97" i="1"/>
  <c r="AG89" i="1"/>
  <c r="AF89" i="1"/>
  <c r="AF64" i="1"/>
  <c r="AG64" i="1"/>
  <c r="AF85" i="1"/>
  <c r="AG85" i="1"/>
  <c r="AF59" i="1"/>
  <c r="AG59" i="1"/>
  <c r="AG73" i="1"/>
  <c r="AF73" i="1"/>
  <c r="AF86" i="1"/>
  <c r="AG86" i="1"/>
  <c r="AF69" i="1"/>
  <c r="AG69" i="1"/>
  <c r="AF51" i="1"/>
  <c r="AF41" i="1"/>
  <c r="AF33" i="1"/>
  <c r="AG71" i="1"/>
  <c r="AF71" i="1"/>
  <c r="AF70" i="1"/>
  <c r="AG70" i="1"/>
  <c r="AF83" i="1"/>
  <c r="AG83" i="1"/>
  <c r="AF80" i="1"/>
  <c r="AG80" i="1"/>
  <c r="AF93" i="1"/>
  <c r="AG93" i="1"/>
  <c r="AG76" i="1"/>
  <c r="AF76" i="1"/>
  <c r="AF91" i="1"/>
  <c r="AG91" i="1"/>
  <c r="AF82" i="1"/>
  <c r="AG82" i="1"/>
  <c r="AF84" i="1"/>
  <c r="AG84" i="1"/>
  <c r="W80" i="1"/>
  <c r="W57" i="1"/>
  <c r="W72" i="1"/>
  <c r="W59" i="1"/>
  <c r="W83" i="1"/>
  <c r="W81" i="1"/>
  <c r="W61" i="1"/>
  <c r="W82" i="1"/>
  <c r="W87" i="1"/>
  <c r="W54" i="1"/>
  <c r="W78" i="1"/>
  <c r="W90" i="1"/>
  <c r="W58" i="1"/>
  <c r="W79" i="1"/>
  <c r="W56" i="1"/>
  <c r="W55" i="1"/>
  <c r="W62" i="1"/>
  <c r="W73" i="1"/>
  <c r="W100" i="1"/>
  <c r="W60" i="1"/>
  <c r="W63" i="1"/>
  <c r="W91" i="1"/>
  <c r="W75" i="1"/>
  <c r="W69" i="1"/>
  <c r="W66" i="1"/>
  <c r="W65" i="1"/>
  <c r="W95" i="1"/>
  <c r="W84" i="1"/>
  <c r="W76" i="1"/>
  <c r="W98" i="1"/>
  <c r="W67" i="1"/>
  <c r="W97" i="1"/>
  <c r="W74" i="1"/>
  <c r="W92" i="1"/>
  <c r="W64" i="1"/>
  <c r="W88" i="1"/>
  <c r="W71" i="1"/>
  <c r="W96" i="1"/>
  <c r="W68" i="1"/>
  <c r="W70" i="1"/>
  <c r="W77" i="1"/>
  <c r="W85" i="1"/>
  <c r="W86" i="1"/>
  <c r="W9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5" i="1"/>
  <c r="B5" i="1"/>
  <c r="C5" i="1"/>
  <c r="D5" i="1"/>
  <c r="W6" i="1"/>
  <c r="B6" i="1"/>
  <c r="C6" i="1"/>
  <c r="D6" i="1"/>
  <c r="W7" i="1"/>
  <c r="B7" i="1"/>
  <c r="C7" i="1"/>
  <c r="D7" i="1"/>
  <c r="W8" i="1"/>
  <c r="B8" i="1"/>
  <c r="C8" i="1"/>
  <c r="D8" i="1"/>
  <c r="W10" i="1"/>
  <c r="C10" i="1"/>
  <c r="D10" i="1"/>
  <c r="W11" i="1"/>
  <c r="C11" i="1"/>
  <c r="D11" i="1"/>
  <c r="W12" i="1"/>
  <c r="C12" i="1"/>
  <c r="D12" i="1"/>
  <c r="W13" i="1"/>
  <c r="C13" i="1"/>
  <c r="D13" i="1"/>
  <c r="W14" i="1"/>
  <c r="C14" i="1"/>
  <c r="D14" i="1"/>
  <c r="W15" i="1"/>
  <c r="C15" i="1"/>
  <c r="D15" i="1"/>
  <c r="W16" i="1"/>
  <c r="C16" i="1"/>
  <c r="D16" i="1"/>
  <c r="W17" i="1"/>
  <c r="C17" i="1"/>
  <c r="D17" i="1"/>
  <c r="W19" i="1"/>
  <c r="C19" i="1"/>
  <c r="D19" i="1"/>
  <c r="W18" i="1"/>
  <c r="C18" i="1"/>
  <c r="D18" i="1"/>
  <c r="W20" i="1"/>
  <c r="C20" i="1"/>
  <c r="D20" i="1"/>
  <c r="W21" i="1"/>
  <c r="C21" i="1"/>
  <c r="D21" i="1"/>
  <c r="W22" i="1"/>
  <c r="C22" i="1"/>
  <c r="D22" i="1"/>
  <c r="W23" i="1"/>
  <c r="C23" i="1"/>
  <c r="D23" i="1"/>
  <c r="W24" i="1"/>
  <c r="C24" i="1"/>
  <c r="D24" i="1"/>
  <c r="W25" i="1"/>
  <c r="C25" i="1"/>
  <c r="D25" i="1"/>
  <c r="W26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W53" i="1"/>
  <c r="W89" i="1"/>
  <c r="C4" i="1"/>
  <c r="D4" i="1"/>
  <c r="E4" i="1"/>
  <c r="AH4" i="1" s="1"/>
  <c r="F4" i="1"/>
  <c r="AI4" i="1" s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B4" i="1"/>
  <c r="A4" i="1"/>
  <c r="AJ4" i="1" l="1"/>
  <c r="AL4" i="1"/>
  <c r="AK4" i="1"/>
  <c r="AM4" i="1"/>
  <c r="C17" i="6"/>
  <c r="D16" i="6"/>
  <c r="AC50" i="1"/>
  <c r="AC48" i="1"/>
  <c r="AC46" i="1"/>
  <c r="AC44" i="1"/>
  <c r="AC40" i="1"/>
  <c r="AC38" i="1"/>
  <c r="AC36" i="1"/>
  <c r="AC34" i="1"/>
  <c r="AC32" i="1"/>
  <c r="AC30" i="1"/>
  <c r="AC28" i="1"/>
  <c r="AC26" i="1"/>
  <c r="AC22" i="1"/>
  <c r="AC19" i="1"/>
  <c r="AC14" i="1"/>
  <c r="AC10" i="1"/>
  <c r="AC8" i="1"/>
  <c r="AC7" i="1"/>
  <c r="AC6" i="1"/>
  <c r="AC5" i="1"/>
  <c r="AC52" i="1"/>
  <c r="AC42" i="1"/>
  <c r="AE15" i="1"/>
  <c r="AG15" i="1" s="1"/>
  <c r="AC4" i="1"/>
  <c r="AC23" i="1"/>
  <c r="AC18" i="1"/>
  <c r="AC15" i="1"/>
  <c r="AC49" i="1"/>
  <c r="AC43" i="1"/>
  <c r="AC33" i="1"/>
  <c r="AC20" i="1"/>
  <c r="AC11" i="1"/>
  <c r="AC53" i="1"/>
  <c r="AC51" i="1"/>
  <c r="AC47" i="1"/>
  <c r="AC45" i="1"/>
  <c r="AC41" i="1"/>
  <c r="AC39" i="1"/>
  <c r="AC37" i="1"/>
  <c r="AC35" i="1"/>
  <c r="AC31" i="1"/>
  <c r="AC29" i="1"/>
  <c r="AC27" i="1"/>
  <c r="AC24" i="1"/>
  <c r="AC16" i="1"/>
  <c r="AC12" i="1"/>
  <c r="X4" i="1"/>
  <c r="Z4" i="1" s="1"/>
  <c r="AC25" i="1"/>
  <c r="AC21" i="1"/>
  <c r="AC17" i="1"/>
  <c r="AC13" i="1"/>
  <c r="AE5" i="1"/>
  <c r="AF5" i="1" s="1"/>
  <c r="AE96" i="1"/>
  <c r="AE56" i="1"/>
  <c r="AF56" i="1" s="1"/>
  <c r="AE8" i="1"/>
  <c r="AG8" i="1" s="1"/>
  <c r="AE88" i="1"/>
  <c r="AG88" i="1" s="1"/>
  <c r="AE7" i="1"/>
  <c r="AF7" i="1" s="1"/>
  <c r="AD16" i="1"/>
  <c r="AD15" i="1"/>
  <c r="AE10" i="1"/>
  <c r="AE6" i="1"/>
  <c r="AF6" i="1" s="1"/>
  <c r="AE4" i="1"/>
  <c r="W4" i="1"/>
  <c r="AD4" i="1"/>
  <c r="C18" i="6" l="1"/>
  <c r="D17" i="6"/>
  <c r="AF15" i="1"/>
  <c r="Y4" i="1"/>
  <c r="AA4" i="1" s="1"/>
  <c r="AG5" i="1"/>
  <c r="AG96" i="1"/>
  <c r="AF96" i="1"/>
  <c r="AG56" i="1"/>
  <c r="AF88" i="1"/>
  <c r="AF8" i="1"/>
  <c r="AG6" i="1"/>
  <c r="AG4" i="1"/>
  <c r="AG10" i="1"/>
  <c r="AF10" i="1"/>
  <c r="AF4" i="1"/>
  <c r="AG9" i="1"/>
  <c r="AF9" i="1"/>
  <c r="AG7" i="1"/>
  <c r="AG50" i="1"/>
  <c r="AF50" i="1"/>
  <c r="AF77" i="1"/>
  <c r="AG77" i="1"/>
  <c r="AG16" i="1"/>
  <c r="AF16" i="1"/>
  <c r="C19" i="6" l="1"/>
  <c r="D18" i="6"/>
  <c r="C20" i="6" l="1"/>
  <c r="D19" i="6"/>
  <c r="C21" i="6" l="1"/>
  <c r="D20" i="6"/>
  <c r="C22" i="6" l="1"/>
  <c r="D21" i="6"/>
  <c r="C23" i="6" l="1"/>
  <c r="D22" i="6"/>
  <c r="C24" i="6" l="1"/>
  <c r="D23" i="6"/>
  <c r="C25" i="6" l="1"/>
  <c r="D24" i="6"/>
  <c r="C26" i="6" l="1"/>
  <c r="D25" i="6"/>
  <c r="C27" i="6" l="1"/>
  <c r="D26" i="6"/>
  <c r="C28" i="6" l="1"/>
  <c r="D27" i="6"/>
  <c r="C29" i="6" l="1"/>
  <c r="D28" i="6"/>
  <c r="C30" i="6" l="1"/>
  <c r="D29" i="6"/>
  <c r="C31" i="6" l="1"/>
  <c r="D30" i="6"/>
  <c r="C32" i="6" l="1"/>
  <c r="D31" i="6"/>
  <c r="C33" i="6" l="1"/>
  <c r="D32" i="6"/>
  <c r="C34" i="6" l="1"/>
  <c r="D33" i="6"/>
  <c r="C35" i="6" l="1"/>
  <c r="D34" i="6"/>
  <c r="C36" i="6" l="1"/>
  <c r="D35" i="6"/>
  <c r="C37" i="6" l="1"/>
  <c r="D36" i="6"/>
  <c r="C38" i="6" l="1"/>
  <c r="D37" i="6"/>
  <c r="C39" i="6" l="1"/>
  <c r="D38" i="6"/>
  <c r="C40" i="6" l="1"/>
  <c r="D39" i="6"/>
  <c r="C41" i="6" l="1"/>
  <c r="D40" i="6"/>
  <c r="C42" i="6" l="1"/>
  <c r="D41" i="6"/>
  <c r="C43" i="6" l="1"/>
  <c r="D42" i="6"/>
  <c r="C44" i="6" l="1"/>
  <c r="D43" i="6"/>
  <c r="C45" i="6" l="1"/>
  <c r="D44" i="6"/>
  <c r="C46" i="6" l="1"/>
  <c r="D45" i="6"/>
  <c r="C47" i="6" l="1"/>
  <c r="D46" i="6"/>
  <c r="C48" i="6" l="1"/>
  <c r="D47" i="6"/>
  <c r="C49" i="6" l="1"/>
  <c r="D48" i="6"/>
  <c r="C50" i="6" l="1"/>
  <c r="D49" i="6"/>
  <c r="C51" i="6" l="1"/>
  <c r="D50" i="6"/>
  <c r="C52" i="6" l="1"/>
  <c r="D51" i="6"/>
  <c r="C53" i="6" l="1"/>
  <c r="D52" i="6"/>
  <c r="C54" i="6" l="1"/>
  <c r="D53" i="6"/>
  <c r="C55" i="6" l="1"/>
  <c r="D54" i="6"/>
  <c r="C56" i="6" l="1"/>
  <c r="D55" i="6"/>
  <c r="C57" i="6" l="1"/>
  <c r="D56" i="6"/>
  <c r="C58" i="6" l="1"/>
  <c r="D57" i="6"/>
  <c r="C59" i="6" l="1"/>
  <c r="D58" i="6"/>
  <c r="C60" i="6" l="1"/>
  <c r="D59" i="6"/>
  <c r="C61" i="6" l="1"/>
  <c r="D60" i="6"/>
  <c r="C62" i="6" l="1"/>
  <c r="D61" i="6"/>
  <c r="C63" i="6" l="1"/>
  <c r="D62" i="6"/>
  <c r="C64" i="6" l="1"/>
  <c r="D63" i="6"/>
  <c r="C65" i="6" l="1"/>
  <c r="D64" i="6"/>
  <c r="C66" i="6" l="1"/>
  <c r="D65" i="6"/>
  <c r="C67" i="6" l="1"/>
  <c r="D66" i="6"/>
  <c r="C68" i="6" l="1"/>
  <c r="D67" i="6"/>
  <c r="C69" i="6" l="1"/>
  <c r="D68" i="6"/>
  <c r="C70" i="6" l="1"/>
  <c r="D69" i="6"/>
  <c r="C71" i="6" l="1"/>
  <c r="D70" i="6"/>
  <c r="C72" i="6" l="1"/>
  <c r="D71" i="6"/>
  <c r="C73" i="6" l="1"/>
  <c r="D72" i="6"/>
  <c r="C74" i="6" l="1"/>
  <c r="D73" i="6"/>
  <c r="C75" i="6" l="1"/>
  <c r="D74" i="6"/>
  <c r="C76" i="6" l="1"/>
  <c r="D75" i="6"/>
  <c r="C77" i="6" l="1"/>
  <c r="D76" i="6"/>
  <c r="C78" i="6" l="1"/>
  <c r="D77" i="6"/>
  <c r="C79" i="6" l="1"/>
  <c r="D78" i="6"/>
  <c r="C80" i="6" l="1"/>
  <c r="D79" i="6"/>
  <c r="C81" i="6" l="1"/>
  <c r="D80" i="6"/>
  <c r="C82" i="6" l="1"/>
  <c r="D81" i="6"/>
  <c r="C83" i="6" l="1"/>
  <c r="D82" i="6"/>
  <c r="C84" i="6" l="1"/>
  <c r="D83" i="6"/>
  <c r="C85" i="6" l="1"/>
  <c r="D84" i="6"/>
  <c r="C86" i="6" l="1"/>
  <c r="D85" i="6"/>
  <c r="C87" i="6" l="1"/>
  <c r="D86" i="6"/>
  <c r="C88" i="6" l="1"/>
  <c r="D87" i="6"/>
  <c r="C89" i="6" l="1"/>
  <c r="D88" i="6"/>
  <c r="C90" i="6" l="1"/>
  <c r="D89" i="6"/>
  <c r="C91" i="6" l="1"/>
  <c r="D90" i="6"/>
  <c r="C92" i="6" l="1"/>
  <c r="D91" i="6"/>
  <c r="C93" i="6" l="1"/>
  <c r="D92" i="6"/>
  <c r="C94" i="6" l="1"/>
  <c r="D93" i="6"/>
  <c r="C95" i="6" l="1"/>
  <c r="D94" i="6"/>
  <c r="C96" i="6" l="1"/>
  <c r="D95" i="6"/>
  <c r="C97" i="6" l="1"/>
  <c r="D96" i="6"/>
  <c r="C98" i="6" l="1"/>
  <c r="D97" i="6"/>
  <c r="C99" i="6" l="1"/>
  <c r="D98" i="6"/>
  <c r="C100" i="6" l="1"/>
  <c r="D100" i="6" s="1"/>
  <c r="D99" i="6"/>
</calcChain>
</file>

<file path=xl/sharedStrings.xml><?xml version="1.0" encoding="utf-8"?>
<sst xmlns="http://schemas.openxmlformats.org/spreadsheetml/2006/main" count="180" uniqueCount="167">
  <si>
    <t>Symbol</t>
  </si>
  <si>
    <t>NumT</t>
  </si>
  <si>
    <t>PNumT</t>
  </si>
  <si>
    <t>P2NumT</t>
  </si>
  <si>
    <t>Last</t>
  </si>
  <si>
    <t>Change</t>
  </si>
  <si>
    <t>%Chg</t>
  </si>
  <si>
    <t>Volume</t>
  </si>
  <si>
    <t>Value</t>
  </si>
  <si>
    <t>Open</t>
  </si>
  <si>
    <t>High</t>
  </si>
  <si>
    <t>Low</t>
  </si>
  <si>
    <t>PClose</t>
  </si>
  <si>
    <t>P/E</t>
  </si>
  <si>
    <t>P/BV</t>
  </si>
  <si>
    <t>MktCap.</t>
  </si>
  <si>
    <t>Div_Yield</t>
  </si>
  <si>
    <t>EPS</t>
  </si>
  <si>
    <t>Time</t>
  </si>
  <si>
    <t>Date</t>
  </si>
  <si>
    <t>SYMBOL</t>
  </si>
  <si>
    <t>Share</t>
  </si>
  <si>
    <t>PDeal</t>
  </si>
  <si>
    <t>Deal150</t>
  </si>
  <si>
    <t>Deal270</t>
  </si>
  <si>
    <t>BuyVol</t>
  </si>
  <si>
    <t>SellVol</t>
  </si>
  <si>
    <t>3Deals</t>
  </si>
  <si>
    <t>Vsell/Share</t>
  </si>
  <si>
    <t>VBu/Share</t>
  </si>
  <si>
    <t>VB-VS</t>
  </si>
  <si>
    <t>Vbuy</t>
  </si>
  <si>
    <t>Vsell</t>
  </si>
  <si>
    <t>Vbuy150</t>
  </si>
  <si>
    <t>Vsell150</t>
  </si>
  <si>
    <t>Vbuy270</t>
  </si>
  <si>
    <t>Vsell270</t>
  </si>
  <si>
    <t>a1</t>
  </si>
  <si>
    <t>e1</t>
  </si>
  <si>
    <t>h1</t>
  </si>
  <si>
    <t>k1</t>
  </si>
  <si>
    <t>n1</t>
  </si>
  <si>
    <t>q1</t>
  </si>
  <si>
    <t>t1</t>
  </si>
  <si>
    <t>w1</t>
  </si>
  <si>
    <t>z1</t>
  </si>
  <si>
    <t>ac1</t>
  </si>
  <si>
    <t>af1</t>
  </si>
  <si>
    <t>ai1</t>
  </si>
  <si>
    <t>al1</t>
  </si>
  <si>
    <t>ao1</t>
  </si>
  <si>
    <t>ar1</t>
  </si>
  <si>
    <t>au1</t>
  </si>
  <si>
    <t>ax1</t>
  </si>
  <si>
    <t>ba1</t>
  </si>
  <si>
    <t>bd1</t>
  </si>
  <si>
    <t>bg1</t>
  </si>
  <si>
    <t>bj1</t>
  </si>
  <si>
    <t>bm1</t>
  </si>
  <si>
    <t>bp1</t>
  </si>
  <si>
    <t>bs1</t>
  </si>
  <si>
    <t>bv1</t>
  </si>
  <si>
    <t>by1</t>
  </si>
  <si>
    <t>cb1</t>
  </si>
  <si>
    <t>ce1</t>
  </si>
  <si>
    <t>ch1</t>
  </si>
  <si>
    <t>ck1</t>
  </si>
  <si>
    <t>cn1</t>
  </si>
  <si>
    <t>cq1</t>
  </si>
  <si>
    <t>ct1</t>
  </si>
  <si>
    <t>cw1</t>
  </si>
  <si>
    <t>cz1</t>
  </si>
  <si>
    <t>dc1</t>
  </si>
  <si>
    <t>df1</t>
  </si>
  <si>
    <t>di1</t>
  </si>
  <si>
    <t>dl1</t>
  </si>
  <si>
    <t>do1</t>
  </si>
  <si>
    <t>dr1</t>
  </si>
  <si>
    <t>du1</t>
  </si>
  <si>
    <t>dx1</t>
  </si>
  <si>
    <t>ea1</t>
  </si>
  <si>
    <t>ed1</t>
  </si>
  <si>
    <t>eg1</t>
  </si>
  <si>
    <t>ej1</t>
  </si>
  <si>
    <t>em1</t>
  </si>
  <si>
    <t>ep1</t>
  </si>
  <si>
    <t>es1</t>
  </si>
  <si>
    <t>ev1</t>
  </si>
  <si>
    <t>ey1</t>
  </si>
  <si>
    <t>fb1</t>
  </si>
  <si>
    <t>fe1</t>
  </si>
  <si>
    <t>fh1</t>
  </si>
  <si>
    <t>fk1</t>
  </si>
  <si>
    <t>fn1</t>
  </si>
  <si>
    <t>fq1</t>
  </si>
  <si>
    <t>ft1</t>
  </si>
  <si>
    <t>fw1</t>
  </si>
  <si>
    <t>fz1</t>
  </si>
  <si>
    <t>gc1</t>
  </si>
  <si>
    <t>gf1</t>
  </si>
  <si>
    <t>gi1</t>
  </si>
  <si>
    <t>gl1</t>
  </si>
  <si>
    <t>go1</t>
  </si>
  <si>
    <t>gr1</t>
  </si>
  <si>
    <t>gu1</t>
  </si>
  <si>
    <t>gx1</t>
  </si>
  <si>
    <t>ha1</t>
  </si>
  <si>
    <t>hd1</t>
  </si>
  <si>
    <t>hg1</t>
  </si>
  <si>
    <t>hj1</t>
  </si>
  <si>
    <t>hm1</t>
  </si>
  <si>
    <t>hp1</t>
  </si>
  <si>
    <t>hs1</t>
  </si>
  <si>
    <t>hv1</t>
  </si>
  <si>
    <t>hy1</t>
  </si>
  <si>
    <t>ib1</t>
  </si>
  <si>
    <t>ie1</t>
  </si>
  <si>
    <t>ih1</t>
  </si>
  <si>
    <t>ik1</t>
  </si>
  <si>
    <t>in1</t>
  </si>
  <si>
    <t>iq1</t>
  </si>
  <si>
    <t>it1</t>
  </si>
  <si>
    <t>iw1</t>
  </si>
  <si>
    <t>iz1</t>
  </si>
  <si>
    <t>jc1</t>
  </si>
  <si>
    <t>jf1</t>
  </si>
  <si>
    <t>ji1</t>
  </si>
  <si>
    <t>jl1</t>
  </si>
  <si>
    <t>jo1</t>
  </si>
  <si>
    <t>jr1</t>
  </si>
  <si>
    <t>ju1</t>
  </si>
  <si>
    <t>jx1</t>
  </si>
  <si>
    <t>ka1</t>
  </si>
  <si>
    <t>kd1</t>
  </si>
  <si>
    <t>kg1</t>
  </si>
  <si>
    <t>kj1</t>
  </si>
  <si>
    <t>km1</t>
  </si>
  <si>
    <t>kp1</t>
  </si>
  <si>
    <t>ks1</t>
  </si>
  <si>
    <t>kv1</t>
  </si>
  <si>
    <t>ky1</t>
  </si>
  <si>
    <t>lb1</t>
  </si>
  <si>
    <t>le1</t>
  </si>
  <si>
    <t>lh1</t>
  </si>
  <si>
    <t>lk1</t>
  </si>
  <si>
    <t>ln1</t>
  </si>
  <si>
    <t>lq1</t>
  </si>
  <si>
    <t>lt1</t>
  </si>
  <si>
    <t>lw1</t>
  </si>
  <si>
    <t>lz1</t>
  </si>
  <si>
    <t>mc1</t>
  </si>
  <si>
    <t>mf1</t>
  </si>
  <si>
    <t>mi1</t>
  </si>
  <si>
    <t>ml1</t>
  </si>
  <si>
    <t>mo1</t>
  </si>
  <si>
    <t>mr1</t>
  </si>
  <si>
    <t>mu1</t>
  </si>
  <si>
    <t>mx1</t>
  </si>
  <si>
    <t>na1</t>
  </si>
  <si>
    <t>nd1</t>
  </si>
  <si>
    <t>ng1</t>
  </si>
  <si>
    <t>nj1</t>
  </si>
  <si>
    <t>nm1</t>
  </si>
  <si>
    <t>np1</t>
  </si>
  <si>
    <t>ns1</t>
  </si>
  <si>
    <t>nv1</t>
  </si>
  <si>
    <t>ny1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</si>
</sst>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0.00000000"/>
    <numFmt numFmtId="167" formatCode="[$-F400]h:mm:ss\ AM/PM"/>
    <numFmt numFmtId="168" formatCode="[$-409]d\-mmm\-yy;@"/>
    <numFmt numFmtId="169" formatCode="h:mm:ss;@"/>
  </numFmts>
  <fonts count="2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8"/>
      <color theme="3"/>
      <name val="Calibri Light"/>
      <family val="2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52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" fillId="0" borderId="0"/>
    <xf numFmtId="0" fontId="2" fillId="0" borderId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12" applyNumberFormat="0" applyAlignment="0" applyProtection="0"/>
    <xf numFmtId="0" fontId="22" fillId="11" borderId="13" applyNumberFormat="0" applyAlignment="0" applyProtection="0"/>
    <xf numFmtId="0" fontId="23" fillId="11" borderId="12" applyNumberFormat="0" applyAlignment="0" applyProtection="0"/>
    <xf numFmtId="0" fontId="24" fillId="0" borderId="14" applyNumberFormat="0" applyFill="0" applyAlignment="0" applyProtection="0"/>
    <xf numFmtId="0" fontId="3" fillId="12" borderId="15" applyNumberFormat="0" applyAlignment="0" applyProtection="0"/>
    <xf numFmtId="0" fontId="12" fillId="0" borderId="0" applyNumberFormat="0" applyFill="0" applyBorder="0" applyAlignment="0" applyProtection="0"/>
    <xf numFmtId="0" fontId="2" fillId="13" borderId="16" applyNumberFormat="0" applyFont="0" applyAlignment="0" applyProtection="0"/>
    <xf numFmtId="0" fontId="25" fillId="0" borderId="0" applyNumberFormat="0" applyFill="0" applyBorder="0" applyAlignment="0" applyProtection="0"/>
    <xf numFmtId="0" fontId="10" fillId="0" borderId="17" applyNumberFormat="0" applyFill="0" applyAlignment="0" applyProtection="0"/>
    <xf numFmtId="0" fontId="4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4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4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4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4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4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13" borderId="16" applyNumberFormat="0" applyFont="0" applyAlignment="0" applyProtection="0"/>
    <xf numFmtId="0" fontId="26" fillId="0" borderId="0"/>
    <xf numFmtId="43" fontId="26" fillId="0" borderId="0" applyFont="0" applyFill="0" applyBorder="0" applyAlignment="0" applyProtection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</cellStyleXfs>
  <cellXfs count="114">
    <xf numFmtId="0" fontId="0" fillId="0" borderId="0" xfId="0"/>
    <xf numFmtId="3" fontId="0" fillId="0" borderId="0" xfId="0" applyNumberFormat="1"/>
    <xf numFmtId="4" fontId="0" fillId="0" borderId="0" xfId="0" applyNumberFormat="1"/>
    <xf numFmtId="20" fontId="0" fillId="0" borderId="0" xfId="0" applyNumberFormat="1"/>
    <xf numFmtId="14" fontId="0" fillId="0" borderId="0" xfId="0" applyNumberFormat="1"/>
    <xf numFmtId="0" fontId="5" fillId="0" borderId="0" xfId="0" applyFont="1"/>
    <xf numFmtId="21" fontId="4" fillId="3" borderId="6" xfId="0" applyNumberFormat="1" applyFont="1" applyFill="1" applyBorder="1"/>
    <xf numFmtId="21" fontId="4" fillId="3" borderId="1" xfId="0" applyNumberFormat="1" applyFont="1" applyFill="1" applyBorder="1"/>
    <xf numFmtId="21" fontId="4" fillId="3" borderId="2" xfId="0" applyNumberFormat="1" applyFont="1" applyFill="1" applyBorder="1"/>
    <xf numFmtId="1" fontId="4" fillId="3" borderId="2" xfId="0" applyNumberFormat="1" applyFont="1" applyFill="1" applyBorder="1"/>
    <xf numFmtId="166" fontId="4" fillId="3" borderId="3" xfId="0" applyNumberFormat="1" applyFont="1" applyFill="1" applyBorder="1"/>
    <xf numFmtId="21" fontId="4" fillId="3" borderId="7" xfId="0" applyNumberFormat="1" applyFont="1" applyFill="1" applyBorder="1"/>
    <xf numFmtId="166" fontId="4" fillId="3" borderId="8" xfId="0" applyNumberFormat="1" applyFont="1" applyFill="1" applyBorder="1"/>
    <xf numFmtId="21" fontId="4" fillId="3" borderId="2" xfId="0" applyNumberFormat="1" applyFont="1" applyFill="1" applyBorder="1" applyAlignment="1">
      <alignment horizontal="right"/>
    </xf>
    <xf numFmtId="21" fontId="4" fillId="3" borderId="7" xfId="0" applyNumberFormat="1" applyFont="1" applyFill="1" applyBorder="1" applyAlignment="1">
      <alignment horizontal="right"/>
    </xf>
    <xf numFmtId="1" fontId="4" fillId="3" borderId="7" xfId="0" applyNumberFormat="1" applyFont="1" applyFill="1" applyBorder="1"/>
    <xf numFmtId="165" fontId="5" fillId="0" borderId="0" xfId="0" applyNumberFormat="1" applyFont="1"/>
    <xf numFmtId="0" fontId="0" fillId="5" borderId="0" xfId="0" applyFont="1" applyFill="1" applyBorder="1" applyAlignment="1">
      <alignment horizontal="left"/>
    </xf>
    <xf numFmtId="0" fontId="0" fillId="6" borderId="0" xfId="0" applyFont="1" applyFill="1"/>
    <xf numFmtId="0" fontId="5" fillId="6" borderId="0" xfId="0" applyFont="1" applyFill="1"/>
    <xf numFmtId="0" fontId="0" fillId="6" borderId="0" xfId="0" applyFont="1" applyFill="1" applyAlignment="1">
      <alignment horizontal="left"/>
    </xf>
    <xf numFmtId="0" fontId="0" fillId="6" borderId="0" xfId="0" applyFont="1" applyFill="1" applyBorder="1" applyAlignment="1">
      <alignment horizontal="left"/>
    </xf>
    <xf numFmtId="0" fontId="12" fillId="6" borderId="0" xfId="0" applyFont="1" applyFill="1" applyBorder="1" applyAlignment="1">
      <alignment horizontal="left"/>
    </xf>
    <xf numFmtId="0" fontId="5" fillId="0" borderId="4" xfId="0" applyFont="1" applyFill="1" applyBorder="1"/>
    <xf numFmtId="4" fontId="5" fillId="0" borderId="0" xfId="0" applyNumberFormat="1" applyFont="1" applyFill="1" applyBorder="1"/>
    <xf numFmtId="2" fontId="5" fillId="0" borderId="0" xfId="0" applyNumberFormat="1" applyFont="1" applyFill="1" applyBorder="1"/>
    <xf numFmtId="10" fontId="5" fillId="0" borderId="0" xfId="2" applyNumberFormat="1" applyFont="1" applyFill="1" applyBorder="1"/>
    <xf numFmtId="3" fontId="5" fillId="0" borderId="0" xfId="0" applyNumberFormat="1" applyFont="1" applyFill="1" applyBorder="1"/>
    <xf numFmtId="0" fontId="5" fillId="0" borderId="6" xfId="0" applyFont="1" applyFill="1" applyBorder="1"/>
    <xf numFmtId="3" fontId="5" fillId="0" borderId="7" xfId="0" applyNumberFormat="1" applyFont="1" applyFill="1" applyBorder="1"/>
    <xf numFmtId="4" fontId="5" fillId="0" borderId="7" xfId="0" applyNumberFormat="1" applyFont="1" applyFill="1" applyBorder="1"/>
    <xf numFmtId="2" fontId="5" fillId="0" borderId="7" xfId="0" applyNumberFormat="1" applyFont="1" applyFill="1" applyBorder="1"/>
    <xf numFmtId="10" fontId="5" fillId="0" borderId="7" xfId="2" applyNumberFormat="1" applyFont="1" applyFill="1" applyBorder="1"/>
    <xf numFmtId="0" fontId="8" fillId="4" borderId="0" xfId="0" applyFont="1" applyFill="1" applyBorder="1" applyAlignment="1">
      <alignment horizontal="left"/>
    </xf>
    <xf numFmtId="10" fontId="0" fillId="0" borderId="0" xfId="2" applyNumberFormat="1" applyFont="1"/>
    <xf numFmtId="2" fontId="0" fillId="0" borderId="0" xfId="0" applyNumberFormat="1"/>
    <xf numFmtId="167" fontId="5" fillId="0" borderId="0" xfId="0" applyNumberFormat="1" applyFont="1" applyFill="1" applyBorder="1"/>
    <xf numFmtId="14" fontId="5" fillId="0" borderId="5" xfId="0" applyNumberFormat="1" applyFont="1" applyFill="1" applyBorder="1"/>
    <xf numFmtId="167" fontId="5" fillId="0" borderId="7" xfId="0" applyNumberFormat="1" applyFont="1" applyFill="1" applyBorder="1"/>
    <xf numFmtId="14" fontId="5" fillId="0" borderId="8" xfId="0" applyNumberFormat="1" applyFont="1" applyFill="1" applyBorder="1"/>
    <xf numFmtId="0" fontId="6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" fontId="5" fillId="0" borderId="0" xfId="1" applyNumberFormat="1" applyFont="1" applyFill="1" applyBorder="1"/>
    <xf numFmtId="4" fontId="5" fillId="0" borderId="7" xfId="1" applyNumberFormat="1" applyFont="1" applyFill="1" applyBorder="1"/>
    <xf numFmtId="0" fontId="11" fillId="0" borderId="0" xfId="0" applyFont="1" applyFill="1" applyBorder="1" applyAlignment="1">
      <alignment horizontal="center"/>
    </xf>
    <xf numFmtId="0" fontId="27" fillId="0" borderId="0" xfId="0" applyFont="1" applyFill="1" applyBorder="1"/>
    <xf numFmtId="21" fontId="27" fillId="0" borderId="0" xfId="0" applyNumberFormat="1" applyFont="1" applyFill="1" applyBorder="1"/>
    <xf numFmtId="9" fontId="27" fillId="0" borderId="0" xfId="2" applyFont="1" applyFill="1" applyBorder="1"/>
    <xf numFmtId="1" fontId="27" fillId="0" borderId="0" xfId="0" applyNumberFormat="1" applyFont="1" applyFill="1" applyBorder="1" applyAlignment="1">
      <alignment horizontal="center"/>
    </xf>
    <xf numFmtId="0" fontId="11" fillId="0" borderId="0" xfId="0" applyFont="1" applyFill="1" applyBorder="1"/>
    <xf numFmtId="0" fontId="27" fillId="0" borderId="0" xfId="0" applyFont="1" applyFill="1" applyBorder="1" applyAlignment="1">
      <alignment horizontal="center"/>
    </xf>
    <xf numFmtId="4" fontId="27" fillId="0" borderId="0" xfId="0" applyNumberFormat="1" applyFont="1" applyFill="1" applyBorder="1" applyAlignment="1">
      <alignment horizontal="center"/>
    </xf>
    <xf numFmtId="3" fontId="27" fillId="0" borderId="0" xfId="0" applyNumberFormat="1" applyFont="1" applyFill="1" applyBorder="1" applyAlignment="1">
      <alignment horizontal="right"/>
    </xf>
    <xf numFmtId="10" fontId="27" fillId="0" borderId="0" xfId="2" applyNumberFormat="1" applyFont="1" applyFill="1" applyBorder="1" applyAlignment="1">
      <alignment horizontal="center"/>
    </xf>
    <xf numFmtId="3" fontId="27" fillId="0" borderId="0" xfId="0" applyNumberFormat="1" applyFont="1" applyFill="1" applyBorder="1" applyAlignment="1">
      <alignment horizontal="center"/>
    </xf>
    <xf numFmtId="9" fontId="27" fillId="0" borderId="0" xfId="2" applyNumberFormat="1" applyFont="1" applyFill="1" applyBorder="1"/>
    <xf numFmtId="166" fontId="27" fillId="0" borderId="0" xfId="0" applyNumberFormat="1" applyFont="1" applyFill="1" applyBorder="1"/>
    <xf numFmtId="0" fontId="28" fillId="0" borderId="0" xfId="0" applyFont="1" applyFill="1" applyBorder="1"/>
    <xf numFmtId="0" fontId="9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14" fontId="0" fillId="0" borderId="0" xfId="0" applyNumberFormat="1" applyFont="1" applyFill="1" applyBorder="1"/>
    <xf numFmtId="0" fontId="5" fillId="0" borderId="18" xfId="0" applyFont="1" applyFill="1" applyBorder="1"/>
    <xf numFmtId="165" fontId="5" fillId="0" borderId="19" xfId="1" applyNumberFormat="1" applyFont="1" applyFill="1" applyBorder="1"/>
    <xf numFmtId="10" fontId="5" fillId="0" borderId="19" xfId="2" applyNumberFormat="1" applyFont="1" applyFill="1" applyBorder="1"/>
    <xf numFmtId="0" fontId="5" fillId="0" borderId="19" xfId="0" applyFont="1" applyFill="1" applyBorder="1"/>
    <xf numFmtId="3" fontId="5" fillId="0" borderId="19" xfId="0" applyNumberFormat="1" applyFont="1" applyFill="1" applyBorder="1" applyAlignment="1">
      <alignment horizontal="right"/>
    </xf>
    <xf numFmtId="1" fontId="5" fillId="0" borderId="19" xfId="0" applyNumberFormat="1" applyFont="1" applyFill="1" applyBorder="1" applyAlignment="1">
      <alignment horizontal="right"/>
    </xf>
    <xf numFmtId="0" fontId="5" fillId="0" borderId="21" xfId="0" applyFont="1" applyFill="1" applyBorder="1"/>
    <xf numFmtId="165" fontId="5" fillId="0" borderId="22" xfId="1" applyNumberFormat="1" applyFont="1" applyFill="1" applyBorder="1"/>
    <xf numFmtId="10" fontId="5" fillId="0" borderId="22" xfId="2" applyNumberFormat="1" applyFont="1" applyFill="1" applyBorder="1"/>
    <xf numFmtId="0" fontId="5" fillId="0" borderId="22" xfId="0" applyFont="1" applyFill="1" applyBorder="1"/>
    <xf numFmtId="3" fontId="5" fillId="0" borderId="22" xfId="0" applyNumberFormat="1" applyFont="1" applyFill="1" applyBorder="1" applyAlignment="1">
      <alignment horizontal="right"/>
    </xf>
    <xf numFmtId="1" fontId="5" fillId="0" borderId="22" xfId="0" applyNumberFormat="1" applyFont="1" applyFill="1" applyBorder="1" applyAlignment="1">
      <alignment horizontal="right"/>
    </xf>
    <xf numFmtId="0" fontId="5" fillId="0" borderId="23" xfId="0" applyFont="1" applyFill="1" applyBorder="1"/>
    <xf numFmtId="165" fontId="5" fillId="0" borderId="24" xfId="1" applyNumberFormat="1" applyFont="1" applyFill="1" applyBorder="1"/>
    <xf numFmtId="10" fontId="5" fillId="0" borderId="24" xfId="2" applyNumberFormat="1" applyFont="1" applyFill="1" applyBorder="1"/>
    <xf numFmtId="0" fontId="5" fillId="0" borderId="24" xfId="0" applyFont="1" applyFill="1" applyBorder="1"/>
    <xf numFmtId="3" fontId="5" fillId="0" borderId="24" xfId="0" applyNumberFormat="1" applyFont="1" applyFill="1" applyBorder="1" applyAlignment="1">
      <alignment horizontal="right"/>
    </xf>
    <xf numFmtId="1" fontId="5" fillId="0" borderId="24" xfId="0" applyNumberFormat="1" applyFont="1" applyFill="1" applyBorder="1" applyAlignment="1">
      <alignment horizontal="right"/>
    </xf>
    <xf numFmtId="165" fontId="5" fillId="0" borderId="19" xfId="0" applyNumberFormat="1" applyFont="1" applyFill="1" applyBorder="1" applyAlignment="1">
      <alignment horizontal="right"/>
    </xf>
    <xf numFmtId="4" fontId="27" fillId="0" borderId="0" xfId="0" applyNumberFormat="1" applyFont="1" applyFill="1" applyBorder="1" applyAlignment="1">
      <alignment horizontal="right"/>
    </xf>
    <xf numFmtId="0" fontId="27" fillId="0" borderId="0" xfId="0" applyFont="1" applyFill="1" applyBorder="1" applyAlignment="1">
      <alignment horizontal="right"/>
    </xf>
    <xf numFmtId="0" fontId="8" fillId="0" borderId="19" xfId="0" applyFont="1" applyFill="1" applyBorder="1" applyAlignment="1">
      <alignment horizontal="right"/>
    </xf>
    <xf numFmtId="0" fontId="8" fillId="0" borderId="22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5" fontId="5" fillId="0" borderId="24" xfId="0" applyNumberFormat="1" applyFont="1" applyFill="1" applyBorder="1" applyAlignment="1">
      <alignment horizontal="right"/>
    </xf>
    <xf numFmtId="21" fontId="2" fillId="0" borderId="0" xfId="0" applyNumberFormat="1" applyFont="1"/>
    <xf numFmtId="167" fontId="27" fillId="0" borderId="0" xfId="0" applyNumberFormat="1" applyFont="1" applyFill="1" applyBorder="1"/>
    <xf numFmtId="164" fontId="5" fillId="0" borderId="26" xfId="0" applyNumberFormat="1" applyFont="1" applyFill="1" applyBorder="1" applyAlignment="1">
      <alignment horizontal="right"/>
    </xf>
    <xf numFmtId="165" fontId="5" fillId="0" borderId="20" xfId="0" applyNumberFormat="1" applyFont="1" applyFill="1" applyBorder="1" applyAlignment="1">
      <alignment horizontal="right"/>
    </xf>
    <xf numFmtId="165" fontId="5" fillId="0" borderId="25" xfId="0" applyNumberFormat="1" applyFont="1" applyFill="1" applyBorder="1" applyAlignment="1">
      <alignment horizontal="right"/>
    </xf>
    <xf numFmtId="0" fontId="15" fillId="7" borderId="2" xfId="50" applyBorder="1" applyAlignment="1">
      <alignment horizontal="center"/>
    </xf>
    <xf numFmtId="0" fontId="16" fillId="8" borderId="2" xfId="51" applyBorder="1" applyAlignment="1">
      <alignment horizontal="center"/>
    </xf>
    <xf numFmtId="0" fontId="16" fillId="8" borderId="3" xfId="51" applyBorder="1" applyAlignment="1">
      <alignment horizontal="center"/>
    </xf>
    <xf numFmtId="164" fontId="5" fillId="0" borderId="23" xfId="0" applyNumberFormat="1" applyFont="1" applyFill="1" applyBorder="1" applyAlignment="1">
      <alignment horizontal="right"/>
    </xf>
    <xf numFmtId="168" fontId="27" fillId="0" borderId="0" xfId="0" applyNumberFormat="1" applyFont="1" applyFill="1" applyBorder="1"/>
    <xf numFmtId="21" fontId="5" fillId="0" borderId="0" xfId="0" applyNumberFormat="1" applyFont="1"/>
    <xf numFmtId="21" fontId="5" fillId="38" borderId="0" xfId="0" applyNumberFormat="1" applyFont="1" applyFill="1"/>
    <xf numFmtId="165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9" fontId="2" fillId="38" borderId="0" xfId="0" applyNumberFormat="1" applyFont="1" applyFill="1" applyAlignment="1">
      <alignment horizontal="right"/>
    </xf>
    <xf numFmtId="169" fontId="2" fillId="0" borderId="0" xfId="0" applyNumberFormat="1" applyFont="1" applyFill="1" applyAlignment="1">
      <alignment horizontal="right"/>
    </xf>
    <xf numFmtId="169" fontId="2" fillId="0" borderId="0" xfId="0" applyNumberFormat="1" applyFont="1" applyAlignment="1">
      <alignment horizontal="right"/>
    </xf>
    <xf numFmtId="169" fontId="2" fillId="0" borderId="0" xfId="0" applyNumberFormat="1" applyFont="1" applyFill="1" applyBorder="1" applyAlignment="1">
      <alignment horizontal="right"/>
    </xf>
    <xf numFmtId="169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</cellXfs>
  <cellStyles count="52">
    <cellStyle name="20% - Accent1 2" xfId="24"/>
    <cellStyle name="20% - Accent2 2" xfId="28"/>
    <cellStyle name="20% - Accent3 2" xfId="32"/>
    <cellStyle name="20% - Accent4 2" xfId="36"/>
    <cellStyle name="20% - Accent5 2" xfId="40"/>
    <cellStyle name="20% - Accent6 2" xfId="44"/>
    <cellStyle name="40% - Accent1 2" xfId="25"/>
    <cellStyle name="40% - Accent2 2" xfId="29"/>
    <cellStyle name="40% - Accent3 2" xfId="33"/>
    <cellStyle name="40% - Accent4 2" xfId="37"/>
    <cellStyle name="40% - Accent5 2" xfId="41"/>
    <cellStyle name="40% - Accent6 2" xfId="45"/>
    <cellStyle name="60% - Accent1 2" xfId="26"/>
    <cellStyle name="60% - Accent2 2" xfId="30"/>
    <cellStyle name="60% - Accent3 2" xfId="34"/>
    <cellStyle name="60% - Accent4 2" xfId="38"/>
    <cellStyle name="60% - Accent5 2" xfId="42"/>
    <cellStyle name="60% - Accent6 2" xfId="46"/>
    <cellStyle name="Accent1 2" xfId="23"/>
    <cellStyle name="Accent2 2" xfId="27"/>
    <cellStyle name="Accent3 2" xfId="31"/>
    <cellStyle name="Accent4 2" xfId="35"/>
    <cellStyle name="Accent5 2" xfId="39"/>
    <cellStyle name="Accent6 2" xfId="43"/>
    <cellStyle name="Bad 2" xfId="12"/>
    <cellStyle name="Calculation 2" xfId="16"/>
    <cellStyle name="Check Cell 2" xfId="18"/>
    <cellStyle name="Comma 2" xfId="49"/>
    <cellStyle name="Explanatory Text 2" xfId="21"/>
    <cellStyle name="Good 2" xfId="11"/>
    <cellStyle name="Heading 1 2" xfId="7"/>
    <cellStyle name="Heading 2 2" xfId="8"/>
    <cellStyle name="Heading 3 2" xfId="9"/>
    <cellStyle name="Heading 4 2" xfId="10"/>
    <cellStyle name="Input 2" xfId="14"/>
    <cellStyle name="Linked Cell 2" xfId="17"/>
    <cellStyle name="Neutral 2" xfId="13"/>
    <cellStyle name="Normal 2" xfId="6"/>
    <cellStyle name="Normal 3" xfId="5"/>
    <cellStyle name="Normal 4" xfId="48"/>
    <cellStyle name="Note 2" xfId="20"/>
    <cellStyle name="Output 2" xfId="15"/>
    <cellStyle name="Total 2" xfId="22"/>
    <cellStyle name="Warning Text 2" xfId="19"/>
    <cellStyle name="เปอร์เซ็นต์" xfId="2" builtinId="5"/>
    <cellStyle name="แย่" xfId="51" builtinId="27"/>
    <cellStyle name="จุลภาค" xfId="1" builtinId="3"/>
    <cellStyle name="จุลภาค 2" xfId="3"/>
    <cellStyle name="ชื่อเรื่อง" xfId="4" builtinId="15" customBuiltin="1"/>
    <cellStyle name="ดี" xfId="50" builtinId="26"/>
    <cellStyle name="ปกติ" xfId="0" builtinId="0"/>
    <cellStyle name="หมายเหตุ" xfId="47" builtinId="10" customBuiltin="1"/>
  </cellStyles>
  <dxfs count="1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</dxf>
    <dxf>
      <font>
        <b/>
        <i val="0"/>
      </font>
    </dxf>
    <dxf>
      <font>
        <b val="0"/>
        <i val="0"/>
        <color rgb="FFFF0000"/>
      </font>
    </dxf>
    <dxf>
      <font>
        <b/>
        <i val="0"/>
      </font>
    </dxf>
    <dxf>
      <font>
        <b val="0"/>
        <i val="0"/>
      </font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b val="0"/>
        <i val="0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ont>
        <b val="0"/>
        <i val="0"/>
      </font>
      <fill>
        <patternFill>
          <bgColor theme="9" tint="0.39994506668294322"/>
        </patternFill>
      </fill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</font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b val="0"/>
        <i val="0"/>
      </font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9999"/>
      <color rgb="FFFF7C80"/>
      <color rgb="FFFF3300"/>
      <color rgb="FFF68664"/>
      <color rgb="FFEB9D8D"/>
      <color rgb="FFF789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profrtd">
      <tp>
        <v>114114915.78</v>
        <stp/>
        <stp>Live</stp>
        <stp>{98854},MktCap.</stp>
        <tr r="K14" s="5"/>
      </tp>
      <tp>
        <v>36743913.810000002</v>
        <stp/>
        <stp>Live</stp>
        <stp>{88757},MktCap.</stp>
        <tr r="K18" s="5"/>
      </tp>
      <tp>
        <v>577</v>
        <stp/>
        <stp>Live</stp>
        <stp>{103987},PNumTicks</stp>
        <tr r="D7" s="5"/>
      </tp>
      <tp>
        <v>59484265407.25</v>
        <stp/>
        <stp>Live</stp>
        <stp>{24650},MktCap.</stp>
        <tr r="K15" s="5"/>
      </tp>
      <tp>
        <v>662</v>
        <stp/>
        <stp>Live</stp>
        <stp>{102551},PNumTicks</stp>
        <tr r="D40" s="5"/>
      </tp>
      <tp>
        <v>96815303.260000005</v>
        <stp/>
        <stp>Live</stp>
        <stp>{99543},MktCap.</stp>
        <tr r="K48" s="5"/>
      </tp>
      <tp>
        <v>2437</v>
        <stp/>
        <stp>Live</stp>
        <stp>{844},NumT</stp>
        <tr r="C38" s="5"/>
      </tp>
      <tp>
        <v>4684</v>
        <stp/>
        <stp>Live</stp>
        <stp>{917},NumT</stp>
        <tr r="C33" s="5"/>
      </tp>
      <tp>
        <v>2010</v>
        <stp/>
        <stp>Live</stp>
        <stp>{847},NumT</stp>
        <tr r="C39" s="5"/>
      </tp>
      <tp>
        <v>33119862.120000001</v>
        <stp/>
        <stp>Live</stp>
        <stp>{44672},MktCap.</stp>
        <tr r="K35" s="5"/>
      </tp>
      <tp>
        <v>35767800.18</v>
        <stp/>
        <stp>Live</stp>
        <stp>{34073},MktCap.</stp>
        <tr r="K3" s="5"/>
      </tp>
      <tp>
        <v>61490973.299999997</v>
        <stp/>
        <stp>Live</stp>
        <stp>{45275},MktCap.</stp>
        <tr r="K12" s="5"/>
      </tp>
      <tp>
        <v>295877269914</v>
        <stp/>
        <stp>Live</stp>
        <stp>{36970},MktCap.</stp>
        <tr r="K46" s="5"/>
      </tp>
      <tp t="s">
        <v>16:36:18</v>
        <stp/>
        <stp>Live</stp>
        <stp>{105198},Time</stp>
        <tr r="L47" s="5"/>
      </tp>
      <tp t="s">
        <v>21/07/2017</v>
        <stp/>
        <stp>Live</stp>
        <stp>{104340},Date</stp>
        <tr r="M44" s="5"/>
      </tp>
      <tp>
        <v>4.12</v>
        <stp/>
        <stp>Live</stp>
        <stp>{104340},Last</stp>
        <tr r="B44" s="5"/>
      </tp>
      <tp>
        <v>9400600</v>
        <stp/>
        <stp>Live</stp>
        <stp>{99863},MktCap.</stp>
        <tr r="K51" s="5"/>
      </tp>
      <tp>
        <v>30240000000</v>
        <stp/>
        <stp>Live</stp>
        <stp>{35466},MktCap.</stp>
        <tr r="K25" s="5"/>
      </tp>
      <tp>
        <v>95216035.939999998</v>
        <stp/>
        <stp>Live</stp>
        <stp>{75467},MktCap.</stp>
        <tr r="K36" s="5"/>
      </tp>
      <tp>
        <v>203290549.02000001</v>
        <stp/>
        <stp>Live</stp>
        <stp>{46865},MktCap.</stp>
        <tr r="K23" s="5"/>
      </tp>
      <tp>
        <v>5315400</v>
        <stp/>
        <stp>Live</stp>
        <stp>{1991},Volume</stp>
        <tr r="I49" s="5"/>
      </tp>
      <tp>
        <v>3884500</v>
        <stp/>
        <stp>Live</stp>
        <stp>{2949},Volume</stp>
        <tr r="I50" s="5"/>
      </tp>
      <tp>
        <v>6327700</v>
        <stp/>
        <stp>Live</stp>
        <stp>{2953},Volume</stp>
        <tr r="I41" s="5"/>
      </tp>
      <tp>
        <v>58111300</v>
        <stp/>
        <stp>Live</stp>
        <stp>{2937},Volume</stp>
        <tr r="I29" s="5"/>
      </tp>
      <tp t="s">
        <v>21/07/2017</v>
        <stp/>
        <stp>Live</stp>
        <stp>{104511},Date</stp>
        <tr r="M42" s="5"/>
      </tp>
      <tp>
        <v>0.23</v>
        <stp/>
        <stp>Live</stp>
        <stp>{102551},Last</stp>
        <tr r="B40" s="5"/>
      </tp>
      <tp t="s">
        <v>21/07/2017</v>
        <stp/>
        <stp>Live</stp>
        <stp>{102551},Date</stp>
        <tr r="M40" s="5"/>
      </tp>
      <tp>
        <v>0.6</v>
        <stp/>
        <stp>Live</stp>
        <stp>{104511},Last</stp>
        <tr r="B42" s="5"/>
      </tp>
      <tp>
        <v>44274771.740000002</v>
        <stp/>
        <stp>Live</stp>
        <stp>{85712},MktCap.</stp>
        <tr r="K30" s="5"/>
      </tp>
      <tp>
        <v>117956500.48</v>
        <stp/>
        <stp>Live</stp>
        <stp>{45710},MktCap.</stp>
        <tr r="K16" s="5"/>
      </tp>
      <tp>
        <v>34424996.600000001</v>
        <stp/>
        <stp>Live</stp>
        <stp>{96018},MktCap.</stp>
        <tr r="K4" s="5"/>
      </tp>
      <tp>
        <v>915450749.54999995</v>
        <stp/>
        <stp>Live</stp>
        <stp>{92200},MktCap.</stp>
        <tr r="K9" s="5"/>
      </tp>
      <tp>
        <v>0.54</v>
        <stp/>
        <stp>Live</stp>
        <stp>{103987},Last</stp>
        <tr r="B7" s="5"/>
      </tp>
      <tp t="s">
        <v>21/07/2017</v>
        <stp/>
        <stp>Live</stp>
        <stp>{105417},Date</stp>
        <tr r="M2" s="5"/>
      </tp>
      <tp>
        <v>18.899999999999999</v>
        <stp/>
        <stp>Live</stp>
        <stp>{105417},Last</stp>
        <tr r="B2" s="5"/>
      </tp>
      <tp t="s">
        <v>21/07/2017</v>
        <stp/>
        <stp>Live</stp>
        <stp>{103987},Date</stp>
        <tr r="M7" s="5"/>
      </tp>
      <tp>
        <v>3065</v>
        <stp/>
        <stp>Live</stp>
        <stp>{105304},PNumTicks</stp>
        <tr r="D26" s="5"/>
      </tp>
      <tp>
        <v>22629900</v>
        <stp/>
        <stp>Live</stp>
        <stp>{98854},BuyVol</stp>
        <tr r="F14" s="5"/>
      </tp>
      <tp>
        <v>1714000</v>
        <stp/>
        <stp>Live</stp>
        <stp>{99863},BuyVol</stp>
        <tr r="F51" s="5"/>
      </tp>
      <tp>
        <v>50764600</v>
        <stp/>
        <stp>Live</stp>
        <stp>{46865},BuyVol</stp>
        <tr r="F23" s="5"/>
      </tp>
      <tp>
        <v>89</v>
        <stp/>
        <stp>Live</stp>
        <stp>{105198},PNumTicks</stp>
        <tr r="D47" s="5"/>
      </tp>
      <tp>
        <v>10667</v>
        <stp/>
        <stp>Live</stp>
        <stp>{105417},PNumTicks</stp>
        <tr r="D2" s="5"/>
      </tp>
      <tp t="s">
        <v>21/07/2017</v>
        <stp/>
        <stp>Live</stp>
        <stp>{105304},Date</stp>
        <tr r="M26" s="5"/>
      </tp>
      <tp>
        <v>1</v>
        <stp/>
        <stp>Live</stp>
        <stp>{105304},Last</stp>
        <tr r="B26" s="5"/>
      </tp>
      <tp>
        <v>2578</v>
        <stp/>
        <stp>Live</stp>
        <stp>{104340},PNumTicks</stp>
        <tr r="D44" s="5"/>
      </tp>
      <tp>
        <v>91660074</v>
        <stp/>
        <stp>Live</stp>
        <stp>{49129},MktCap.</stp>
        <tr r="K31" s="5"/>
      </tp>
      <tp>
        <v>9520000</v>
        <stp/>
        <stp>Live</stp>
        <stp>{36970},BuyVol</stp>
        <tr r="F46" s="5"/>
      </tp>
      <tp>
        <v>68073663362.5</v>
        <stp/>
        <stp>Live</stp>
        <stp>{62729},MktCap.</stp>
        <tr r="K32" s="5"/>
      </tp>
      <tp>
        <v>2096</v>
        <stp/>
        <stp>Live</stp>
        <stp>{104511},PNumTicks</stp>
        <tr r="D42" s="5"/>
      </tp>
      <tp>
        <v>42770413.75</v>
        <stp/>
        <stp>Live</stp>
        <stp>{36723},MktCap.</stp>
        <tr r="K21" s="5"/>
      </tp>
      <tp>
        <v>100144400</v>
        <stp/>
        <stp>Live</stp>
        <stp>{87998},BuyVol</stp>
        <tr r="F6" s="5"/>
      </tp>
      <tp>
        <v>61432435.729999997</v>
        <stp/>
        <stp>Live</stp>
        <stp>{47027},MktCap.</stp>
        <tr r="K8" s="5"/>
      </tp>
      <tp>
        <v>7037500</v>
        <stp/>
        <stp>Live</stp>
        <stp>{24650},BuyVol</stp>
        <tr r="F15" s="5"/>
      </tp>
      <tp>
        <v>84490300</v>
        <stp/>
        <stp>Live</stp>
        <stp>{44672},BuyVol</stp>
        <tr r="F35" s="5"/>
      </tp>
      <tp>
        <v>31403300</v>
        <stp/>
        <stp>Live</stp>
        <stp>{36697},BuyVol</stp>
        <tr r="F20" s="5"/>
      </tp>
      <tp>
        <v>13969700</v>
        <stp/>
        <stp>Live</stp>
        <stp>{1253},Volume</stp>
        <tr r="I19" s="5"/>
      </tp>
      <tp>
        <v>300595500</v>
        <stp/>
        <stp>Live</stp>
        <stp>{1259},Volume</stp>
        <tr r="I10" s="5"/>
      </tp>
      <tp>
        <v>667921325</v>
        <stp/>
        <stp>Live</stp>
        <stp>{844},Value</stp>
        <tr r="J38" s="5"/>
      </tp>
      <tp>
        <v>259528225</v>
        <stp/>
        <stp>Live</stp>
        <stp>{847},Value</stp>
        <tr r="J39" s="5"/>
      </tp>
      <tp>
        <v>784910595</v>
        <stp/>
        <stp>Live</stp>
        <stp>{917},Value</stp>
        <tr r="J33" s="5"/>
      </tp>
      <tp>
        <v>19409500</v>
        <stp/>
        <stp>Live</stp>
        <stp>{88757},BuyVol</stp>
        <tr r="F18" s="5"/>
      </tp>
      <tp>
        <v>58189800</v>
        <stp/>
        <stp>Live</stp>
        <stp>{85712},BuyVol</stp>
        <tr r="F30" s="5"/>
      </tp>
      <tp>
        <v>27231500</v>
        <stp/>
        <stp>Live</stp>
        <stp>{45710},BuyVol</stp>
        <tr r="F16" s="5"/>
      </tp>
      <tp>
        <v>14973700</v>
        <stp/>
        <stp>Live</stp>
        <stp>{62729},BuyVol</stp>
        <tr r="F32" s="5"/>
      </tp>
      <tp>
        <v>132150000</v>
        <stp/>
        <stp>Live</stp>
        <stp>{36723},BuyVol</stp>
        <tr r="F21" s="5"/>
      </tp>
      <tp>
        <v>7093000</v>
        <stp/>
        <stp>Live</stp>
        <stp>{35466},BuyVol</stp>
        <tr r="F25" s="5"/>
      </tp>
      <tp>
        <v>29591100</v>
        <stp/>
        <stp>Live</stp>
        <stp>{75467},BuyVol</stp>
        <tr r="F36" s="5"/>
      </tp>
      <tp>
        <v>12315300</v>
        <stp/>
        <stp>Live</stp>
        <stp>{2060},Volume</stp>
        <tr r="I22" s="5"/>
      </tp>
      <tp>
        <v>42381100</v>
        <stp/>
        <stp>Live</stp>
        <stp>{2026},Volume</stp>
        <tr r="I13" s="5"/>
      </tp>
      <tp t="s">
        <v>16:36:17</v>
        <stp/>
        <stp>Live</stp>
        <stp>{104340},Time</stp>
        <tr r="L44" s="5"/>
      </tp>
      <tp t="s">
        <v>21/07/2017</v>
        <stp/>
        <stp>Live</stp>
        <stp>{105198},Date</stp>
        <tr r="M47" s="5"/>
      </tp>
      <tp>
        <v>0.25</v>
        <stp/>
        <stp>Live</stp>
        <stp>{105198},Last</stp>
        <tr r="B47" s="5"/>
      </tp>
      <tp>
        <v>40018300</v>
        <stp/>
        <stp>Live</stp>
        <stp>{99543},BuyVol</stp>
        <tr r="F48" s="5"/>
      </tp>
      <tp>
        <v>179307300</v>
        <stp/>
        <stp>Live</stp>
        <stp>{2183},Volume</stp>
        <tr r="I28" s="5"/>
      </tp>
      <tp>
        <v>21149400</v>
        <stp/>
        <stp>Live</stp>
        <stp>{1170},Volume</stp>
        <tr r="I34" s="5"/>
      </tp>
      <tp>
        <v>9708600</v>
        <stp/>
        <stp>Live</stp>
        <stp>{1103},Volume</stp>
        <tr r="I27" s="5"/>
      </tp>
      <tp>
        <v>74118700</v>
        <stp/>
        <stp>Live</stp>
        <stp>{2101},Volume</stp>
        <tr r="I11" s="5"/>
      </tp>
      <tp>
        <v>8650400</v>
        <stp/>
        <stp>Live</stp>
        <stp>{2104},Volume</stp>
        <tr r="I17" s="5"/>
      </tp>
      <tp>
        <v>2308400</v>
        <stp/>
        <stp>Live</stp>
        <stp>{1110},Volume</stp>
        <tr r="I45" s="5"/>
      </tp>
      <tp t="s">
        <v>16:36:18</v>
        <stp/>
        <stp>Live</stp>
        <stp>{104511},Time</stp>
        <tr r="L42" s="5"/>
      </tp>
      <tp t="s">
        <v>16:36:22</v>
        <stp/>
        <stp>Live</stp>
        <stp>{102551},Time</stp>
        <tr r="L40" s="5"/>
      </tp>
      <tp>
        <v>76697000</v>
        <stp/>
        <stp>Live</stp>
        <stp>{45275},BuyVol</stp>
        <tr r="F12" s="5"/>
      </tp>
      <tp>
        <v>14401300</v>
        <stp/>
        <stp>Live</stp>
        <stp>{92200},BuyVol</stp>
        <tr r="F9" s="5"/>
      </tp>
      <tp>
        <v>167736159.09999999</v>
        <stp/>
        <stp>Live</stp>
        <stp>{36697},MktCap.</stp>
        <tr r="K20" s="5"/>
      </tp>
      <tp>
        <v>65146465.350000001</v>
        <stp/>
        <stp>Live</stp>
        <stp>{87998},MktCap.</stp>
        <tr r="K6" s="5"/>
      </tp>
      <tp>
        <v>168474178.94999999</v>
        <stp/>
        <stp>Live</stp>
        <stp>{33088},MktCap.</stp>
        <tr r="K43" s="5"/>
      </tp>
      <tp>
        <v>14383653.84</v>
        <stp/>
        <stp>Live</stp>
        <stp>{37386},MktCap.</stp>
        <tr r="K24" s="5"/>
      </tp>
      <tp>
        <v>49432700</v>
        <stp/>
        <stp>Live</stp>
        <stp>{37386},BuyVol</stp>
        <tr r="F24" s="5"/>
      </tp>
      <tp>
        <v>44690868.18</v>
        <stp/>
        <stp>Live</stp>
        <stp>{98188},MktCap.</stp>
        <tr r="K5" s="5"/>
      </tp>
      <tp>
        <v>127782800</v>
        <stp/>
        <stp>Live</stp>
        <stp>{2781},Volume</stp>
        <tr r="I37" s="5"/>
      </tp>
      <tp t="s">
        <v>16:36:22</v>
        <stp/>
        <stp>Live</stp>
        <stp>{105417},Time</stp>
        <tr r="L2" s="5"/>
      </tp>
      <tp t="s">
        <v>16:36:20</v>
        <stp/>
        <stp>Live</stp>
        <stp>{103987},Time</stp>
        <tr r="L7" s="5"/>
      </tp>
      <tp>
        <v>236816600</v>
        <stp/>
        <stp>Live</stp>
        <stp>{34073},BuyVol</stp>
        <tr r="F3" s="5"/>
      </tp>
      <tp>
        <v>39630900</v>
        <stp/>
        <stp>Live</stp>
        <stp>{96018},BuyVol</stp>
        <tr r="F4" s="5"/>
      </tp>
      <tp>
        <v>73284200</v>
        <stp/>
        <stp>Live</stp>
        <stp>{47027},BuyVol</stp>
        <tr r="F8" s="5"/>
      </tp>
      <tp>
        <v>26934700</v>
        <stp/>
        <stp>Live</stp>
        <stp>{33088},BuyVol</stp>
        <tr r="F43" s="5"/>
      </tp>
      <tp t="s">
        <v>16:36:15</v>
        <stp/>
        <stp>Live</stp>
        <stp>{105304},Time</stp>
        <tr r="L26" s="5"/>
      </tp>
      <tp>
        <v>5875300</v>
        <stp/>
        <stp>Live</stp>
        <stp>{49129},BuyVol</stp>
        <tr r="F31" s="5"/>
      </tp>
      <tp>
        <v>64189100</v>
        <stp/>
        <stp>Live</stp>
        <stp>{98188},BuyVol</stp>
        <tr r="F5" s="5"/>
      </tp>
      <tp>
        <v>9530</v>
        <stp/>
        <stp>Live</stp>
        <stp>{105304},P2NumTicks</stp>
        <tr r="E26" s="5"/>
      </tp>
      <tp>
        <v>6975</v>
        <stp/>
        <stp>Live</stp>
        <stp>{104340},P2NumTicks</stp>
        <tr r="E44" s="5"/>
      </tp>
      <tp>
        <v>-4</v>
        <stp/>
        <stp>Live</stp>
        <stp>{1110},Change</stp>
        <tr r="H45" s="5"/>
      </tp>
      <tp>
        <v>-2</v>
        <stp/>
        <stp>Live</stp>
        <stp>{2104},Change</stp>
        <tr r="H17" s="5"/>
      </tp>
      <tp>
        <v>-0.1</v>
        <stp/>
        <stp>Live</stp>
        <stp>{2101},Change</stp>
        <tr r="H11" s="5"/>
      </tp>
      <tp>
        <v>-1</v>
        <stp/>
        <stp>Live</stp>
        <stp>{1103},Change</stp>
        <tr r="H27" s="5"/>
      </tp>
      <tp>
        <v>-0.15</v>
        <stp/>
        <stp>Live</stp>
        <stp>{1170},Change</stp>
        <tr r="H34" s="5"/>
      </tp>
      <tp>
        <v>0.01</v>
        <stp/>
        <stp>Live</stp>
        <stp>{2183},Change</stp>
        <tr r="H28" s="5"/>
      </tp>
      <tp>
        <v>0.75</v>
        <stp/>
        <stp>Live</stp>
        <stp>{2026},Change</stp>
        <tr r="H13" s="5"/>
      </tp>
      <tp>
        <v>1.75</v>
        <stp/>
        <stp>Live</stp>
        <stp>{2060},Change</stp>
        <tr r="H22" s="5"/>
      </tp>
      <tp>
        <v>12987</v>
        <stp/>
        <stp>Live</stp>
        <stp>{105417},NumT</stp>
        <tr r="C2" s="5"/>
      </tp>
      <tp>
        <v>4924</v>
        <stp/>
        <stp>Live</stp>
        <stp>{103987},NumT</stp>
        <tr r="C7" s="5"/>
      </tp>
      <tp>
        <v>83</v>
        <stp/>
        <stp>Live</stp>
        <stp>{105198},P2NumTicks</stp>
        <tr r="E47" s="5"/>
      </tp>
      <tp>
        <v>2598</v>
        <stp/>
        <stp>Live</stp>
        <stp>{105304},NumT</stp>
        <tr r="C26" s="5"/>
      </tp>
      <tp>
        <v>19803400</v>
        <stp/>
        <stp>Live</stp>
        <stp>{104511},SellVol</stp>
        <tr r="G42" s="5"/>
      </tp>
      <tp>
        <v>65741700</v>
        <stp/>
        <stp>Live</stp>
        <stp>{105417},SellVol</stp>
        <tr r="G2" s="5"/>
      </tp>
      <tp>
        <v>-0.6</v>
        <stp/>
        <stp>Live</stp>
        <stp>{1253},Change</stp>
        <tr r="H19" s="5"/>
      </tp>
      <tp>
        <v>0.08</v>
        <stp/>
        <stp>Live</stp>
        <stp>{1259},Change</stp>
        <tr r="H10" s="5"/>
      </tp>
      <tp>
        <v>21740300</v>
        <stp/>
        <stp>Live</stp>
        <stp>{105304},SellVol</stp>
        <tr r="G26" s="5"/>
      </tp>
      <tp>
        <v>2557</v>
        <stp/>
        <stp>Live</stp>
        <stp>{917},P2NumTicks</stp>
        <tr r="E33" s="5"/>
      </tp>
      <tp t="s">
        <v>ADVANC</v>
        <stp/>
        <stp>Live</stp>
        <stp>{1991},Symbol</stp>
        <tr r="A49" s="5"/>
      </tp>
      <tp t="s">
        <v>KTB</v>
        <stp/>
        <stp>Live</stp>
        <stp>{2937},Symbol</stp>
        <tr r="A29" s="5"/>
      </tp>
      <tp t="s">
        <v>KBANK</v>
        <stp/>
        <stp>Live</stp>
        <stp>{2953},Symbol</stp>
        <tr r="A41" s="5"/>
      </tp>
      <tp t="s">
        <v>KTC</v>
        <stp/>
        <stp>Live</stp>
        <stp>{2949},Symbol</stp>
        <tr r="A50" s="5"/>
      </tp>
      <tp>
        <v>1655</v>
        <stp/>
        <stp>Live</stp>
        <stp>{847},P2NumTicks</stp>
        <tr r="E39" s="5"/>
      </tp>
      <tp>
        <v>2187</v>
        <stp/>
        <stp>Live</stp>
        <stp>{844},P2NumTicks</stp>
        <tr r="E38" s="5"/>
      </tp>
      <tp t="s">
        <v>21/07/2017</v>
        <stp/>
        <stp>Live</stp>
        <stp>{844},Date</stp>
        <tr r="M38" s="5"/>
      </tp>
      <tp>
        <v>70</v>
        <stp/>
        <stp>Live</stp>
        <stp>{844},Last</stp>
        <tr r="B38" s="5"/>
      </tp>
      <tp t="s">
        <v>21/07/2017</v>
        <stp/>
        <stp>Live</stp>
        <stp>{847},Date</stp>
        <tr r="M39" s="5"/>
      </tp>
      <tp t="s">
        <v>21/07/2017</v>
        <stp/>
        <stp>Live</stp>
        <stp>{917},Date</stp>
        <tr r="M33" s="5"/>
      </tp>
      <tp>
        <v>5.75</v>
        <stp/>
        <stp>Live</stp>
        <stp>{917},Last</stp>
        <tr r="B33" s="5"/>
      </tp>
      <tp>
        <v>45</v>
        <stp/>
        <stp>Live</stp>
        <stp>{847},Last</stp>
        <tr r="B39" s="5"/>
      </tp>
      <tp>
        <v>6582</v>
        <stp/>
        <stp>Live</stp>
        <stp>{104511},P2NumTicks</stp>
        <tr r="E42" s="5"/>
      </tp>
      <tp>
        <v>84</v>
        <stp/>
        <stp>Live</stp>
        <stp>{102551},P2NumTicks</stp>
        <tr r="E40" s="5"/>
      </tp>
      <tp>
        <v>0</v>
        <stp/>
        <stp>Live</stp>
        <stp>{2781},Change</stp>
        <tr r="H37" s="5"/>
      </tp>
      <tp>
        <v>2390</v>
        <stp/>
        <stp>Live</stp>
        <stp>{104340},NumT</stp>
        <tr r="C44" s="5"/>
      </tp>
      <tp>
        <v>77116600</v>
        <stp/>
        <stp>Live</stp>
        <stp>{102551},SellVol</stp>
        <tr r="G40" s="5"/>
      </tp>
      <tp>
        <v>17558</v>
        <stp/>
        <stp>Live</stp>
        <stp>{105417},P2NumTicks</stp>
        <tr r="E2" s="5"/>
      </tp>
      <tp>
        <v>1638</v>
        <stp/>
        <stp>Live</stp>
        <stp>{104511},NumT</stp>
        <tr r="C42" s="5"/>
      </tp>
      <tp>
        <v>1564</v>
        <stp/>
        <stp>Live</stp>
        <stp>{102551},NumT</stp>
        <tr r="C40" s="5"/>
      </tp>
      <tp>
        <v>14097900</v>
        <stp/>
        <stp>Live</stp>
        <stp>{104340},SellVol</stp>
        <tr r="G44" s="5"/>
      </tp>
      <tp>
        <v>0.1</v>
        <stp/>
        <stp>Live</stp>
        <stp>{2937},Change</stp>
        <tr r="H29" s="5"/>
      </tp>
      <tp>
        <v>1.5</v>
        <stp/>
        <stp>Live</stp>
        <stp>{2953},Change</stp>
        <tr r="H41" s="5"/>
      </tp>
      <tp>
        <v>-2.5</v>
        <stp/>
        <stp>Live</stp>
        <stp>{2949},Change</stp>
        <tr r="H50" s="5"/>
      </tp>
      <tp>
        <v>-2</v>
        <stp/>
        <stp>Live</stp>
        <stp>{1991},Change</stp>
        <tr r="H49" s="5"/>
      </tp>
      <tp t="s">
        <v>IRPC</v>
        <stp/>
        <stp>Live</stp>
        <stp>{2781},Symbol</stp>
        <tr r="A37" s="5"/>
      </tp>
      <tp>
        <v>1402</v>
        <stp/>
        <stp>Live</stp>
        <stp>{103987},P2NumTicks</stp>
        <tr r="E7" s="5"/>
      </tp>
      <tp>
        <v>25859000</v>
        <stp/>
        <stp>Live</stp>
        <stp>{105198},SellVol</stp>
        <tr r="G47" s="5"/>
      </tp>
      <tp>
        <v>70778200</v>
        <stp/>
        <stp>Live</stp>
        <stp>{103987},SellVol</stp>
        <tr r="G7" s="5"/>
      </tp>
      <tp t="s">
        <v>SUPER</v>
        <stp/>
        <stp>Live</stp>
        <stp>{2183},Symbol</stp>
        <tr r="A28" s="5"/>
      </tp>
      <tp t="s">
        <v>SCC</v>
        <stp/>
        <stp>Live</stp>
        <stp>{1110},Symbol</stp>
        <tr r="A45" s="5"/>
      </tp>
      <tp t="s">
        <v>BBL</v>
        <stp/>
        <stp>Live</stp>
        <stp>{2104},Symbol</stp>
        <tr r="A17" s="5"/>
      </tp>
      <tp t="s">
        <v>BANPU</v>
        <stp/>
        <stp>Live</stp>
        <stp>{2101},Symbol</stp>
        <tr r="A11" s="5"/>
      </tp>
      <tp t="s">
        <v>SCB</v>
        <stp/>
        <stp>Live</stp>
        <stp>{1103},Symbol</stp>
        <tr r="A27" s="5"/>
      </tp>
      <tp t="s">
        <v>SVI</v>
        <stp/>
        <stp>Live</stp>
        <stp>{1170},Symbol</stp>
        <tr r="A34" s="5"/>
      </tp>
      <tp t="s">
        <v>16:36:16</v>
        <stp/>
        <stp>Live</stp>
        <stp>{844},Time</stp>
        <tr r="L38" s="5"/>
      </tp>
      <tp t="s">
        <v>AOT</v>
        <stp/>
        <stp>Live</stp>
        <stp>{2026},Symbol</stp>
        <tr r="A13" s="5"/>
      </tp>
      <tp t="s">
        <v>TOP</v>
        <stp/>
        <stp>Live</stp>
        <stp>{2060},Symbol</stp>
        <tr r="A22" s="5"/>
      </tp>
      <tp t="s">
        <v>16:36:22</v>
        <stp/>
        <stp>Live</stp>
        <stp>{847},Time</stp>
        <tr r="L39" s="5"/>
      </tp>
      <tp t="s">
        <v>16:36:21</v>
        <stp/>
        <stp>Live</stp>
        <stp>{917},Time</stp>
        <tr r="L33" s="5"/>
      </tp>
      <tp>
        <v>1482</v>
        <stp/>
        <stp>Live</stp>
        <stp>{105198},NumT</stp>
        <tr r="C47" s="5"/>
      </tp>
      <tp t="s">
        <v>TMB</v>
        <stp/>
        <stp>Live</stp>
        <stp>{1259},Symbol</stp>
        <tr r="A10" s="5"/>
      </tp>
      <tp t="s">
        <v>THAI</v>
        <stp/>
        <stp>Live</stp>
        <stp>{1253},Symbol</stp>
        <tr r="A19" s="5"/>
      </tp>
      <tp>
        <v>2424300</v>
        <stp/>
        <stp>Live</stp>
        <stp>{1991},BuyVol</stp>
        <tr r="F49" s="5"/>
      </tp>
      <tp>
        <v>26644800</v>
        <stp/>
        <stp>Live</stp>
        <stp>{2937},BuyVol</stp>
        <tr r="F29" s="5"/>
      </tp>
      <tp>
        <v>1563000</v>
        <stp/>
        <stp>Live</stp>
        <stp>{2949},BuyVol</stp>
        <tr r="F50" s="5"/>
      </tp>
      <tp>
        <v>2745000</v>
        <stp/>
        <stp>Live</stp>
        <stp>{2953},BuyVol</stp>
        <tr r="F41" s="5"/>
      </tp>
      <tp>
        <v>26353300</v>
        <stp/>
        <stp>Live</stp>
        <stp>{36970},Volume</stp>
        <tr r="I46" s="5"/>
      </tp>
      <tp>
        <v>34762000</v>
        <stp/>
        <stp>Live</stp>
        <stp>{33088},SellVol</stp>
        <tr r="G43" s="5"/>
      </tp>
      <tp>
        <v>46273400</v>
        <stp/>
        <stp>Live</stp>
        <stp>{37386},SellVol</stp>
        <tr r="G24" s="5"/>
      </tp>
      <tp>
        <v>202706300</v>
        <stp/>
        <stp>Live</stp>
        <stp>{87998},Volume</stp>
        <tr r="I6" s="5"/>
      </tp>
      <tp>
        <v>54130400</v>
        <stp/>
        <stp>Live</stp>
        <stp>{98188},SellVol</stp>
        <tr r="G5" s="5"/>
      </tp>
      <tp>
        <v>3676600</v>
        <stp/>
        <stp>Live</stp>
        <stp>{99863},Volume</stp>
        <tr r="I51" s="5"/>
      </tp>
      <tp>
        <v>104337900</v>
        <stp/>
        <stp>Live</stp>
        <stp>{46865},Volume</stp>
        <tr r="I23" s="5"/>
      </tp>
      <tp>
        <v>56265200</v>
        <stp/>
        <stp>Live</stp>
        <stp>{98854},Volume</stp>
        <tr r="I14" s="5"/>
      </tp>
      <tp>
        <v>40259600</v>
        <stp/>
        <stp>Live</stp>
        <stp>{36697},SellVol</stp>
        <tr r="G20" s="5"/>
      </tp>
      <tp>
        <v>95805200</v>
        <stp/>
        <stp>Live</stp>
        <stp>{87998},SellVol</stp>
        <tr r="G6" s="5"/>
      </tp>
      <tp>
        <v>87755900</v>
        <stp/>
        <stp>Live</stp>
        <stp>{99543},Volume</stp>
        <tr r="I48" s="5"/>
      </tp>
      <tp>
        <v>42265800</v>
        <stp/>
        <stp>Live</stp>
        <stp>{99543},SellVol</stp>
        <tr r="G48" s="5"/>
      </tp>
      <tp>
        <v>104507000</v>
        <stp/>
        <stp>Live</stp>
        <stp>{2183},BuyVol</stp>
        <tr r="F28" s="5"/>
      </tp>
      <tp>
        <v>23619600</v>
        <stp/>
        <stp>Live</stp>
        <stp>{2101},BuyVol</stp>
        <tr r="F11" s="5"/>
      </tp>
      <tp>
        <v>3699500</v>
        <stp/>
        <stp>Live</stp>
        <stp>{1103},BuyVol</stp>
        <tr r="F27" s="5"/>
      </tp>
      <tp>
        <v>3483800</v>
        <stp/>
        <stp>Live</stp>
        <stp>{2104},BuyVol</stp>
        <tr r="F17" s="5"/>
      </tp>
      <tp>
        <v>490300</v>
        <stp/>
        <stp>Live</stp>
        <stp>{1110},BuyVol</stp>
        <tr r="F45" s="5"/>
      </tp>
      <tp>
        <v>7584000</v>
        <stp/>
        <stp>Live</stp>
        <stp>{1170},BuyVol</stp>
        <tr r="F34" s="5"/>
      </tp>
      <tp>
        <v>27645600</v>
        <stp/>
        <stp>Live</stp>
        <stp>{98854},SellVol</stp>
        <tr r="G14" s="5"/>
      </tp>
      <tp>
        <v>22904600</v>
        <stp/>
        <stp>Live</stp>
        <stp>{88757},SellVol</stp>
        <tr r="G18" s="5"/>
      </tp>
      <tp>
        <v>22461600</v>
        <stp/>
        <stp>Live</stp>
        <stp>{35466},Volume</stp>
        <tr r="I25" s="5"/>
      </tp>
      <tp>
        <v>71102000</v>
        <stp/>
        <stp>Live</stp>
        <stp>{75467},Volume</stp>
        <tr r="I36" s="5"/>
      </tp>
      <tp>
        <v>12804300</v>
        <stp/>
        <stp>Live</stp>
        <stp>{24650},SellVol</stp>
        <tr r="G15" s="5"/>
      </tp>
      <tp>
        <v>26712800</v>
        <stp/>
        <stp>Live</stp>
        <stp>{2026},BuyVol</stp>
        <tr r="F13" s="5"/>
      </tp>
      <tp>
        <v>6225200</v>
        <stp/>
        <stp>Live</stp>
        <stp>{2060},BuyVol</stp>
        <tr r="F22" s="5"/>
      </tp>
      <tp>
        <v>25693600</v>
        <stp/>
        <stp>Live</stp>
        <stp>{62729},Volume</stp>
        <tr r="I32" s="5"/>
      </tp>
      <tp>
        <v>308288600</v>
        <stp/>
        <stp>Live</stp>
        <stp>{36723},Volume</stp>
        <tr r="I21" s="5"/>
      </tp>
      <tp>
        <v>113074600</v>
        <stp/>
        <stp>Live</stp>
        <stp>{85712},Volume</stp>
        <tr r="I30" s="5"/>
      </tp>
      <tp>
        <v>64512900</v>
        <stp/>
        <stp>Live</stp>
        <stp>{45710},Volume</stp>
        <tr r="I16" s="5"/>
      </tp>
      <tp>
        <v>47321900</v>
        <stp/>
        <stp>Live</stp>
        <stp>{88757},Volume</stp>
        <tr r="I18" s="5"/>
      </tp>
      <tp>
        <v>1906600</v>
        <stp/>
        <stp>Live</stp>
        <stp>{99863},SellVol</stp>
        <tr r="G51" s="5"/>
      </tp>
      <tp>
        <v>13479100</v>
        <stp/>
        <stp>Live</stp>
        <stp>{35466},SellVol</stp>
        <tr r="G25" s="5"/>
      </tp>
      <tp>
        <v>50969100</v>
        <stp/>
        <stp>Live</stp>
        <stp>{46865},SellVol</stp>
        <tr r="G23" s="5"/>
      </tp>
      <tp>
        <v>31454100</v>
        <stp/>
        <stp>Live</stp>
        <stp>{75467},SellVol</stp>
        <tr r="G36" s="5"/>
      </tp>
      <tp>
        <v>158975100</v>
        <stp/>
        <stp>Live</stp>
        <stp>{44672},Volume</stp>
        <tr r="I35" s="5"/>
      </tp>
      <tp>
        <v>22053300</v>
        <stp/>
        <stp>Live</stp>
        <stp>{24650},Volume</stp>
        <tr r="I15" s="5"/>
      </tp>
      <tp>
        <v>75716100</v>
        <stp/>
        <stp>Live</stp>
        <stp>{36697},Volume</stp>
        <tr r="I20" s="5"/>
      </tp>
      <tp>
        <v>70562000</v>
        <stp/>
        <stp>Live</stp>
        <stp>{44672},SellVol</stp>
        <tr r="G35" s="5"/>
      </tp>
      <tp>
        <v>82158300</v>
        <stp/>
        <stp>Live</stp>
        <stp>{45275},SellVol</stp>
        <tr r="G12" s="5"/>
      </tp>
      <tp>
        <v>222671500</v>
        <stp/>
        <stp>Live</stp>
        <stp>{34073},SellVol</stp>
        <tr r="G3" s="5"/>
      </tp>
      <tp>
        <v>13158700</v>
        <stp/>
        <stp>Live</stp>
        <stp>{36970},SellVol</stp>
        <tr r="G46" s="5"/>
      </tp>
      <tp>
        <v>4410400</v>
        <stp/>
        <stp>Live</stp>
        <stp>{1253},BuyVol</stp>
        <tr r="F19" s="5"/>
      </tp>
      <tp>
        <v>163254300</v>
        <stp/>
        <stp>Live</stp>
        <stp>{1259},BuyVol</stp>
        <tr r="F10" s="5"/>
      </tp>
      <tp>
        <v>15446000</v>
        <stp/>
        <stp>Live</stp>
        <stp>{49129},Volume</stp>
        <tr r="I31" s="5"/>
      </tp>
      <tp>
        <v>12382700</v>
        <stp/>
        <stp>Live</stp>
        <stp>{92200},SellVol</stp>
        <tr r="G9" s="5"/>
      </tp>
      <tp>
        <v>124422900</v>
        <stp/>
        <stp>Live</stp>
        <stp>{98188},Volume</stp>
        <tr r="I5" s="5"/>
      </tp>
      <tp>
        <v>157390500</v>
        <stp/>
        <stp>Live</stp>
        <stp>{47027},Volume</stp>
        <tr r="I8" s="5"/>
      </tp>
      <tp>
        <v>103822900</v>
        <stp/>
        <stp>Live</stp>
        <stp>{96018},Volume</stp>
        <tr r="I4" s="5"/>
      </tp>
      <tp>
        <v>469287100</v>
        <stp/>
        <stp>Live</stp>
        <stp>{34073},Volume</stp>
        <tr r="I3" s="5"/>
      </tp>
      <tp>
        <v>50534600</v>
        <stp/>
        <stp>Live</stp>
        <stp>{85712},SellVol</stp>
        <tr r="G30" s="5"/>
      </tp>
      <tp>
        <v>33196500</v>
        <stp/>
        <stp>Live</stp>
        <stp>{45710},SellVol</stp>
        <tr r="G16" s="5"/>
      </tp>
      <tp>
        <v>73213900</v>
        <stp/>
        <stp>Live</stp>
        <stp>{33088},Volume</stp>
        <tr r="I43" s="5"/>
      </tp>
      <tp>
        <v>51933500</v>
        <stp/>
        <stp>Live</stp>
        <stp>{96018},SellVol</stp>
        <tr r="G4" s="5"/>
      </tp>
      <tp>
        <v>7487300</v>
        <stp/>
        <stp>Live</stp>
        <stp>{49129},SellVol</stp>
        <tr r="G31" s="5"/>
      </tp>
      <tp>
        <v>8446100</v>
        <stp/>
        <stp>Live</stp>
        <stp>{62729},SellVol</stp>
        <tr r="G32" s="5"/>
      </tp>
      <tp>
        <v>98234100</v>
        <stp/>
        <stp>Live</stp>
        <stp>{37386},Volume</stp>
        <tr r="I24" s="5"/>
      </tp>
      <tp>
        <v>167540400</v>
        <stp/>
        <stp>Live</stp>
        <stp>{36723},SellVol</stp>
        <tr r="G21" s="5"/>
      </tp>
      <tp>
        <v>81703100</v>
        <stp/>
        <stp>Live</stp>
        <stp>{47027},SellVol</stp>
        <tr r="G8" s="5"/>
      </tp>
      <tp>
        <v>62537000</v>
        <stp/>
        <stp>Live</stp>
        <stp>{2781},BuyVol</stp>
        <tr r="F37" s="5"/>
      </tp>
      <tp>
        <v>29054100</v>
        <stp/>
        <stp>Live</stp>
        <stp>{92200},Volume</stp>
        <tr r="I9" s="5"/>
      </tp>
      <tp>
        <v>165050800</v>
        <stp/>
        <stp>Live</stp>
        <stp>{45275},Volume</stp>
        <tr r="I12" s="5"/>
      </tp>
      <tp>
        <v>0.09</v>
        <stp/>
        <stp>Live</stp>
        <stp>{36697},Change</stp>
        <tr r="H20" s="5"/>
      </tp>
      <tp>
        <v>-2.75</v>
        <stp/>
        <stp>Live</stp>
        <stp>{24650},Change</stp>
        <tr r="H15" s="5"/>
      </tp>
      <tp>
        <v>0.03</v>
        <stp/>
        <stp>Live</stp>
        <stp>{44672},Change</stp>
        <tr r="H35" s="5"/>
      </tp>
      <tp>
        <v>2233</v>
        <stp/>
        <stp>Live</stp>
        <stp>{98188},PNumTicks</stp>
        <tr r="D5" s="5"/>
      </tp>
      <tp>
        <v>3008</v>
        <stp/>
        <stp>Live</stp>
        <stp>{88757},PNumTicks</stp>
        <tr r="D18" s="5"/>
      </tp>
      <tp>
        <v>1076</v>
        <stp/>
        <stp>Live</stp>
        <stp>{98854},PNumTicks</stp>
        <tr r="D14" s="5"/>
      </tp>
      <tp>
        <v>-0.31</v>
        <stp/>
        <stp>Live</stp>
        <stp>{88757},Change</stp>
        <tr r="H18" s="5"/>
      </tp>
      <tp>
        <v>0.03</v>
        <stp/>
        <stp>Live</stp>
        <stp>{85712},Change</stp>
        <tr r="H30" s="5"/>
      </tp>
      <tp>
        <v>-0.05</v>
        <stp/>
        <stp>Live</stp>
        <stp>{45710},Change</stp>
        <tr r="H16" s="5"/>
      </tp>
      <tp>
        <v>0.6</v>
        <stp/>
        <stp>Live</stp>
        <stp>{62729},Change</stp>
        <tr r="H32" s="5"/>
      </tp>
      <tp>
        <v>0.01</v>
        <stp/>
        <stp>Live</stp>
        <stp>{36723},Change</stp>
        <tr r="H21" s="5"/>
      </tp>
      <tp>
        <v>5477</v>
        <stp/>
        <stp>Live</stp>
        <stp>{49129},PNumTicks</stp>
        <tr r="D31" s="5"/>
      </tp>
      <tp>
        <v>92</v>
        <stp/>
        <stp>Live</stp>
        <stp>{99543},PNumTicks</stp>
        <tr r="D48" s="5"/>
      </tp>
      <tp>
        <v>20</v>
        <stp/>
        <stp>Live</stp>
        <stp>{99863},PNumTicks</stp>
        <tr r="D51" s="5"/>
      </tp>
      <tp>
        <v>-0.11</v>
        <stp/>
        <stp>Live</stp>
        <stp>{75467},Change</stp>
        <tr r="H36" s="5"/>
      </tp>
      <tp>
        <v>-0.5</v>
        <stp/>
        <stp>Live</stp>
        <stp>{35466},Change</stp>
        <tr r="H25" s="5"/>
      </tp>
      <tp t="s">
        <v>NDR-W1</v>
        <stp/>
        <stp>Live</stp>
        <stp>{98854},Symbol</stp>
        <tr r="A14" s="5"/>
      </tp>
      <tp t="s">
        <v>AIRA-W2</v>
        <stp/>
        <stp>Live</stp>
        <stp>{46865},Symbol</stp>
        <tr r="A23" s="5"/>
      </tp>
      <tp t="s">
        <v>GPSC01P1707A</v>
        <stp/>
        <stp>Live</stp>
        <stp>{99863},Symbol</stp>
        <tr r="A51" s="5"/>
      </tp>
      <tp>
        <v>43627136.759999998</v>
        <stp/>
        <stp>Live</stp>
        <stp>{103987},MktCap.</stp>
        <tr r="K7" s="5"/>
      </tp>
      <tp>
        <v>0.02</v>
        <stp/>
        <stp>Live</stp>
        <stp>{99543},Change</stp>
        <tr r="H48" s="5"/>
      </tp>
      <tp t="s">
        <v>BDMS</v>
        <stp/>
        <stp>Live</stp>
        <stp>{36970},Symbol</stp>
        <tr r="A46" s="5"/>
      </tp>
      <tp t="s">
        <v>OCEAN-W2</v>
        <stp/>
        <stp>Live</stp>
        <stp>{87998},Symbol</stp>
        <tr r="A6" s="5"/>
      </tp>
      <tp>
        <v>39269999</v>
        <stp/>
        <stp>Live</stp>
        <stp>{105198},MktCap.</stp>
        <tr r="K47" s="5"/>
      </tp>
      <tp>
        <v>1248363600</v>
        <stp/>
        <stp>Live</stp>
        <stp>{2953},Value</stp>
        <tr r="J41" s="5"/>
      </tp>
      <tp>
        <v>435580750</v>
        <stp/>
        <stp>Live</stp>
        <stp>{2949},Value</stp>
        <tr r="J50" s="5"/>
      </tp>
      <tp>
        <v>1058786430</v>
        <stp/>
        <stp>Live</stp>
        <stp>{2937},Value</stp>
        <tr r="J29" s="5"/>
      </tp>
      <tp>
        <v>7.0000000000000007E-2</v>
        <stp/>
        <stp>Live</stp>
        <stp>{45275},Change</stp>
        <tr r="H12" s="5"/>
      </tp>
      <tp>
        <v>1034248500</v>
        <stp/>
        <stp>Live</stp>
        <stp>{2060},Value</stp>
        <tr r="J22" s="5"/>
      </tp>
      <tp>
        <v>2157314150</v>
        <stp/>
        <stp>Live</stp>
        <stp>{2026},Value</stp>
        <tr r="J13" s="5"/>
      </tp>
      <tp>
        <v>1230503200</v>
        <stp/>
        <stp>Live</stp>
        <stp>{2101},Value</stp>
        <tr r="J11" s="5"/>
      </tp>
      <tp>
        <v>1564090200</v>
        <stp/>
        <stp>Live</stp>
        <stp>{2104},Value</stp>
        <tr r="J17" s="5"/>
      </tp>
      <tp>
        <v>229160361</v>
        <stp/>
        <stp>Live</stp>
        <stp>{2183},Value</stp>
        <tr r="J28" s="5"/>
      </tp>
      <tp>
        <v>0.25</v>
        <stp/>
        <stp>Live</stp>
        <stp>{92200},Change</stp>
        <tr r="H9" s="5"/>
      </tp>
      <tp>
        <v>668152805</v>
        <stp/>
        <stp>Live</stp>
        <stp>{2781},Value</stp>
        <tr r="J37" s="5"/>
      </tp>
      <tp>
        <v>0.01</v>
        <stp/>
        <stp>Live</stp>
        <stp>{37386},Change</stp>
        <tr r="H24" s="5"/>
      </tp>
      <tp>
        <v>-0.19</v>
        <stp/>
        <stp>Live</stp>
        <stp>{33088},Change</stp>
        <tr r="H43" s="5"/>
      </tp>
      <tp>
        <v>0.31</v>
        <stp/>
        <stp>Live</stp>
        <stp>{34073},Change</stp>
        <tr r="H3" s="5"/>
      </tp>
      <tp>
        <v>-0.31</v>
        <stp/>
        <stp>Live</stp>
        <stp>{96018},Change</stp>
        <tr r="H4" s="5"/>
      </tp>
      <tp>
        <v>7.0000000000000007E-2</v>
        <stp/>
        <stp>Live</stp>
        <stp>{47027},Change</stp>
        <tr r="H8" s="5"/>
      </tp>
      <tp>
        <v>982813350</v>
        <stp/>
        <stp>Live</stp>
        <stp>{1991},Value</stp>
        <tr r="J49" s="5"/>
      </tp>
      <tp>
        <v>0.17</v>
        <stp/>
        <stp>Live</stp>
        <stp>{98188},Change</stp>
        <tr r="H5" s="5"/>
      </tp>
      <tp>
        <v>707981490</v>
        <stp/>
        <stp>Live</stp>
        <stp>{1259},Value</stp>
        <tr r="J10" s="5"/>
      </tp>
      <tp>
        <v>267716250</v>
        <stp/>
        <stp>Live</stp>
        <stp>{1253},Value</stp>
        <tr r="J19" s="5"/>
      </tp>
      <tp>
        <v>120637530</v>
        <stp/>
        <stp>Live</stp>
        <stp>{1170},Value</stp>
        <tr r="J34" s="5"/>
      </tp>
      <tp>
        <v>1155521600</v>
        <stp/>
        <stp>Live</stp>
        <stp>{1110},Value</stp>
        <tr r="J45" s="5"/>
      </tp>
      <tp>
        <v>1473590250</v>
        <stp/>
        <stp>Live</stp>
        <stp>{1103},Value</stp>
        <tr r="J27" s="5"/>
      </tp>
      <tp>
        <v>-0.34</v>
        <stp/>
        <stp>Live</stp>
        <stp>{49129},Change</stp>
        <tr r="H31" s="5"/>
      </tp>
      <tp t="s">
        <v>BROCK-W1</v>
        <stp/>
        <stp>Live</stp>
        <stp>{45275},Symbol</stp>
        <tr r="A12" s="5"/>
      </tp>
      <tp t="s">
        <v>GL-W4</v>
        <stp/>
        <stp>Live</stp>
        <stp>{92200},Symbol</stp>
        <tr r="A9" s="5"/>
      </tp>
      <tp t="s">
        <v>NPP-W2</v>
        <stp/>
        <stp>Live</stp>
        <stp>{37386},Symbol</stp>
        <tr r="A24" s="5"/>
      </tp>
      <tp t="s">
        <v>LOXLEY-W</v>
        <stp/>
        <stp>Live</stp>
        <stp>{34073},Symbol</stp>
        <tr r="A3" s="5"/>
      </tp>
      <tp t="s">
        <v>PHOL-W1</v>
        <stp/>
        <stp>Live</stp>
        <stp>{96018},Symbol</stp>
        <tr r="A4" s="5"/>
      </tp>
      <tp t="s">
        <v>CGH-W2</v>
        <stp/>
        <stp>Live</stp>
        <stp>{47027},Symbol</stp>
        <tr r="A8" s="5"/>
      </tp>
      <tp t="s">
        <v>IVL-W1</v>
        <stp/>
        <stp>Live</stp>
        <stp>{33088},Symbol</stp>
        <tr r="A43" s="5"/>
      </tp>
      <tp>
        <v>821</v>
        <stp/>
        <stp>Live</stp>
        <stp>{92200},PNumTicks</stp>
        <tr r="D9" s="5"/>
      </tp>
      <tp>
        <v>2062</v>
        <stp/>
        <stp>Live</stp>
        <stp>{62729},PNumTicks</stp>
        <tr r="D32" s="5"/>
      </tp>
      <tp>
        <v>60633189</v>
        <stp/>
        <stp>Live</stp>
        <stp>{105304},MktCap.</stp>
        <tr r="K26" s="5"/>
      </tp>
      <tp t="s">
        <v>GUNKUL-W</v>
        <stp/>
        <stp>Live</stp>
        <stp>{49129},Symbol</stp>
        <tr r="A31" s="5"/>
      </tp>
      <tp t="s">
        <v>PLE-W3</v>
        <stp/>
        <stp>Live</stp>
        <stp>{98188},Symbol</stp>
        <tr r="A5" s="5"/>
      </tp>
      <tp>
        <v>2057</v>
        <stp/>
        <stp>Live</stp>
        <stp>{33088},PNumTicks</stp>
        <tr r="D43" s="5"/>
      </tp>
      <tp>
        <v>59313179.399999999</v>
        <stp/>
        <stp>Live</stp>
        <stp>{104511},MktCap.</stp>
        <tr r="K42" s="5"/>
      </tp>
      <tp>
        <v>48040020000</v>
        <stp/>
        <stp>Live</stp>
        <stp>{105417},MktCap.</stp>
        <tr r="K2" s="5"/>
      </tp>
      <tp t="s">
        <v>KKP</v>
        <stp/>
        <stp>Live</stp>
        <stp>{24650},Symbol</stp>
        <tr r="A15" s="5"/>
      </tp>
      <tp t="s">
        <v>SMART-W1</v>
        <stp/>
        <stp>Live</stp>
        <stp>{44672},Symbol</stp>
        <tr r="A35" s="5"/>
      </tp>
      <tp t="s">
        <v>SUSCO-W1</v>
        <stp/>
        <stp>Live</stp>
        <stp>{36697},Symbol</stp>
        <tr r="A20" s="5"/>
      </tp>
      <tp>
        <v>1126</v>
        <stp/>
        <stp>Live</stp>
        <stp>{34073},PNumTicks</stp>
        <tr r="D3" s="5"/>
      </tp>
      <tp>
        <v>548</v>
        <stp/>
        <stp>Live</stp>
        <stp>{44672},PNumTicks</stp>
        <tr r="D35" s="5"/>
      </tp>
      <tp>
        <v>1275</v>
        <stp/>
        <stp>Live</stp>
        <stp>{24650},PNumTicks</stp>
        <tr r="D15" s="5"/>
      </tp>
      <tp t="s">
        <v>TNPC-W1</v>
        <stp/>
        <stp>Live</stp>
        <stp>{88757},Symbol</stp>
        <tr r="A18" s="5"/>
      </tp>
      <tp t="s">
        <v>WIIK-W1</v>
        <stp/>
        <stp>Live</stp>
        <stp>{45710},Symbol</stp>
        <tr r="A16" s="5"/>
      </tp>
      <tp t="s">
        <v>SPORT-W5</v>
        <stp/>
        <stp>Live</stp>
        <stp>{85712},Symbol</stp>
        <tr r="A30" s="5"/>
      </tp>
      <tp t="s">
        <v>CGH-W1</v>
        <stp/>
        <stp>Live</stp>
        <stp>{36723},Symbol</stp>
        <tr r="A21" s="5"/>
      </tp>
      <tp t="s">
        <v>SPRC</v>
        <stp/>
        <stp>Live</stp>
        <stp>{62729},Symbol</stp>
        <tr r="A32" s="5"/>
      </tp>
      <tp>
        <v>72</v>
        <stp/>
        <stp>Live</stp>
        <stp>{45275},PNumTicks</stp>
        <tr r="D12" s="5"/>
      </tp>
      <tp>
        <v>4781</v>
        <stp/>
        <stp>Live</stp>
        <stp>{75467},PNumTicks</stp>
        <tr r="D36" s="5"/>
      </tp>
      <tp>
        <v>1905</v>
        <stp/>
        <stp>Live</stp>
        <stp>{35466},PNumTicks</stp>
        <tr r="D25" s="5"/>
      </tp>
      <tp>
        <v>3035</v>
        <stp/>
        <stp>Live</stp>
        <stp>{45710},PNumTicks</stp>
        <tr r="D16" s="5"/>
      </tp>
      <tp>
        <v>321</v>
        <stp/>
        <stp>Live</stp>
        <stp>{85712},PNumTicks</stp>
        <tr r="D30" s="5"/>
      </tp>
      <tp>
        <v>-7.0000000000000007E-2</v>
        <stp/>
        <stp>Live</stp>
        <stp>{98854},Change</stp>
        <tr r="H14" s="5"/>
      </tp>
      <tp>
        <v>-0.09</v>
        <stp/>
        <stp>Live</stp>
        <stp>{99863},Change</stp>
        <tr r="H51" s="5"/>
      </tp>
      <tp>
        <v>0.03</v>
        <stp/>
        <stp>Live</stp>
        <stp>{46865},Change</stp>
        <tr r="H23" s="5"/>
      </tp>
      <tp t="s">
        <v>TMC-W1</v>
        <stp/>
        <stp>Live</stp>
        <stp>{75467},Symbol</stp>
        <tr r="A36" s="5"/>
      </tp>
      <tp t="s">
        <v>EPG</v>
        <stp/>
        <stp>Live</stp>
        <stp>{35466},Symbol</stp>
        <tr r="A25" s="5"/>
      </tp>
      <tp>
        <v>12155</v>
        <stp/>
        <stp>Live</stp>
        <stp>{96018},PNumTicks</stp>
        <tr r="D4" s="5"/>
      </tp>
      <tp>
        <v>15</v>
        <stp/>
        <stp>Live</stp>
        <stp>{36723},PNumTicks</stp>
        <tr r="D21" s="5"/>
      </tp>
      <tp>
        <v>161</v>
        <stp/>
        <stp>Live</stp>
        <stp>{36697},PNumTicks</stp>
        <tr r="D20" s="5"/>
      </tp>
      <tp>
        <v>1479</v>
        <stp/>
        <stp>Live</stp>
        <stp>{36970},PNumTicks</stp>
        <tr r="D46" s="5"/>
      </tp>
      <tp>
        <v>278</v>
        <stp/>
        <stp>Live</stp>
        <stp>{46865},PNumTicks</stp>
        <tr r="D23" s="5"/>
      </tp>
      <tp>
        <v>672235914.84000003</v>
        <stp/>
        <stp>Live</stp>
        <stp>{104340},MktCap.</stp>
        <tr r="K44" s="5"/>
      </tp>
      <tp>
        <v>0.04</v>
        <stp/>
        <stp>Live</stp>
        <stp>{87998},Change</stp>
        <tr r="H6" s="5"/>
      </tp>
      <tp>
        <v>-0.2</v>
        <stp/>
        <stp>Live</stp>
        <stp>{36970},Change</stp>
        <tr r="H46" s="5"/>
      </tp>
      <tp t="s">
        <v>CEN-W4</v>
        <stp/>
        <stp>Live</stp>
        <stp>{99543},Symbol</stp>
        <tr r="A48" s="5"/>
      </tp>
      <tp>
        <v>39</v>
        <stp/>
        <stp>Live</stp>
        <stp>{47027},PNumTicks</stp>
        <tr r="D8" s="5"/>
      </tp>
      <tp>
        <v>1208</v>
        <stp/>
        <stp>Live</stp>
        <stp>{37386},PNumTicks</stp>
        <tr r="D24" s="5"/>
      </tp>
      <tp>
        <v>306</v>
        <stp/>
        <stp>Live</stp>
        <stp>{87998},PNumTicks</stp>
        <tr r="D6" s="5"/>
      </tp>
      <tp>
        <v>57079721.460000001</v>
        <stp/>
        <stp>Live</stp>
        <stp>{102551},MktCap.</stp>
        <tr r="K40" s="5"/>
      </tp>
      <tp>
        <v>397469870</v>
        <stp/>
        <stp>Live</stp>
        <stp>{62729},Value</stp>
        <tr r="J32" s="5"/>
      </tp>
      <tp>
        <v>166501445</v>
        <stp/>
        <stp>Live</stp>
        <stp>{92200},Value</stp>
        <tr r="J9" s="5"/>
      </tp>
      <tp t="s">
        <v>16:36:22</v>
        <stp/>
        <stp>Live</stp>
        <stp>{2060},Time</stp>
        <tr r="L22" s="5"/>
      </tp>
      <tp t="s">
        <v>16:36:22</v>
        <stp/>
        <stp>Live</stp>
        <stp>{1170},Time</stp>
        <tr r="L34" s="5"/>
      </tp>
      <tp t="s">
        <v>16:36:20</v>
        <stp/>
        <stp>Live</stp>
        <stp>{1110},Time</stp>
        <tr r="L45" s="5"/>
      </tp>
      <tp>
        <v>2.38</v>
        <stp/>
        <stp>Live</stp>
        <stp>{1259},Last</stp>
        <tr r="B10" s="5"/>
      </tp>
      <tp>
        <v>111.5</v>
        <stp/>
        <stp>Live</stp>
        <stp>{2949},Last</stp>
        <tr r="B50" s="5"/>
      </tp>
      <tp t="s">
        <v>21/07/2017</v>
        <stp/>
        <stp>Live</stp>
        <stp>{2949},Date</stp>
        <tr r="M50" s="5"/>
      </tp>
      <tp>
        <v>28845945</v>
        <stp/>
        <stp>Live</stp>
        <stp>{33088},Value</stp>
        <tr r="J43" s="5"/>
      </tp>
      <tp t="s">
        <v>21/07/2017</v>
        <stp/>
        <stp>Live</stp>
        <stp>{1259},Date</stp>
        <tr r="M10" s="5"/>
      </tp>
      <tp t="s">
        <v>16:36:22</v>
        <stp/>
        <stp>Live</stp>
        <stp>{2101},Time</stp>
        <tr r="L11" s="5"/>
      </tp>
      <tp t="s">
        <v>16:36:18</v>
        <stp/>
        <stp>Live</stp>
        <stp>{2781},Time</stp>
        <tr r="L37" s="5"/>
      </tp>
      <tp t="s">
        <v>16:36:18</v>
        <stp/>
        <stp>Live</stp>
        <stp>{1991},Time</stp>
        <tr r="L49" s="5"/>
      </tp>
      <tp t="s">
        <v>16:36:18</v>
        <stp/>
        <stp>Live</stp>
        <stp>{2953},Time</stp>
        <tr r="L41" s="5"/>
      </tp>
      <tp t="s">
        <v>16:36:21</v>
        <stp/>
        <stp>Live</stp>
        <stp>{2183},Time</stp>
        <tr r="L28" s="5"/>
      </tp>
      <tp t="s">
        <v>16:36:19</v>
        <stp/>
        <stp>Live</stp>
        <stp>{1253},Time</stp>
        <tr r="L19" s="5"/>
      </tp>
      <tp t="s">
        <v>16:36:16</v>
        <stp/>
        <stp>Live</stp>
        <stp>{1103},Time</stp>
        <tr r="L27" s="5"/>
      </tp>
      <tp>
        <v>34518049</v>
        <stp/>
        <stp>Live</stp>
        <stp>{46865},Value</stp>
        <tr r="J23" s="5"/>
      </tp>
      <tp>
        <v>504825000</v>
        <stp/>
        <stp>Live</stp>
        <stp>{36970},Value</stp>
        <tr r="J46" s="5"/>
      </tp>
      <tp>
        <v>49249273</v>
        <stp/>
        <stp>Live</stp>
        <stp>{36697},Value</stp>
        <tr r="J20" s="5"/>
      </tp>
      <tp>
        <v>18902752</v>
        <stp/>
        <stp>Live</stp>
        <stp>{36723},Value</stp>
        <tr r="J21" s="5"/>
      </tp>
      <tp>
        <v>116842974</v>
        <stp/>
        <stp>Live</stp>
        <stp>{96018},Value</stp>
        <tr r="J4" s="5"/>
      </tp>
      <tp t="s">
        <v>16:36:22</v>
        <stp/>
        <stp>Live</stp>
        <stp>{2104},Time</stp>
        <tr r="L17" s="5"/>
      </tp>
      <tp>
        <v>103723673</v>
        <stp/>
        <stp>Live</stp>
        <stp>{87998},Value</stp>
        <tr r="J6" s="5"/>
      </tp>
      <tp>
        <v>29482803</v>
        <stp/>
        <stp>Live</stp>
        <stp>{37386},Value</stp>
        <tr r="J24" s="5"/>
      </tp>
      <tp>
        <v>34126781</v>
        <stp/>
        <stp>Live</stp>
        <stp>{47027},Value</stp>
        <tr r="J8" s="5"/>
      </tp>
      <tp>
        <v>33261211</v>
        <stp/>
        <stp>Live</stp>
        <stp>{44672},Value</stp>
        <tr r="J35" s="5"/>
      </tp>
      <tp>
        <v>1553272025</v>
        <stp/>
        <stp>Live</stp>
        <stp>{24650},Value</stp>
        <tr r="J15" s="5"/>
      </tp>
      <tp>
        <v>274974218</v>
        <stp/>
        <stp>Live</stp>
        <stp>{34073},Value</stp>
        <tr r="J3" s="5"/>
      </tp>
      <tp t="s">
        <v>16:36:22</v>
        <stp/>
        <stp>Live</stp>
        <stp>{2026},Time</stp>
        <tr r="L13" s="5"/>
      </tp>
      <tp>
        <v>83471419</v>
        <stp/>
        <stp>Live</stp>
        <stp>{45710},Value</stp>
        <tr r="J16" s="5"/>
      </tp>
      <tp>
        <v>62297399</v>
        <stp/>
        <stp>Live</stp>
        <stp>{85712},Value</stp>
        <tr r="J30" s="5"/>
      </tp>
      <tp>
        <v>245298370</v>
        <stp/>
        <stp>Live</stp>
        <stp>{35466},Value</stp>
        <tr r="J25" s="5"/>
      </tp>
      <tp>
        <v>43938202</v>
        <stp/>
        <stp>Live</stp>
        <stp>{75467},Value</stp>
        <tr r="J36" s="5"/>
      </tp>
      <tp>
        <v>56254063</v>
        <stp/>
        <stp>Live</stp>
        <stp>{45275},Value</stp>
        <tr r="J12" s="5"/>
      </tp>
      <tp t="s">
        <v>16:36:16</v>
        <stp/>
        <stp>Live</stp>
        <stp>{2937},Time</stp>
        <tr r="L29" s="5"/>
      </tp>
      <tp>
        <v>5.75</v>
        <stp/>
        <stp>Live</stp>
        <stp>{1170},Last</stp>
        <tr r="B34" s="5"/>
      </tp>
      <tp>
        <v>500</v>
        <stp/>
        <stp>Live</stp>
        <stp>{1110},Last</stp>
        <tr r="B45" s="5"/>
      </tp>
      <tp>
        <v>84</v>
        <stp/>
        <stp>Live</stp>
        <stp>{2060},Last</stp>
        <tr r="B22" s="5"/>
      </tp>
      <tp t="s">
        <v>21/07/2017</v>
        <stp/>
        <stp>Live</stp>
        <stp>{2060},Date</stp>
        <tr r="M22" s="5"/>
      </tp>
      <tp t="s">
        <v>21/07/2017</v>
        <stp/>
        <stp>Live</stp>
        <stp>{1170},Date</stp>
        <tr r="M34" s="5"/>
      </tp>
      <tp t="s">
        <v>21/07/2017</v>
        <stp/>
        <stp>Live</stp>
        <stp>{1110},Date</stp>
        <tr r="M45" s="5"/>
      </tp>
      <tp>
        <v>185</v>
        <stp/>
        <stp>Live</stp>
        <stp>{1991},Last</stp>
        <tr r="B49" s="5"/>
      </tp>
      <tp>
        <v>16.399999999999999</v>
        <stp/>
        <stp>Live</stp>
        <stp>{2101},Last</stp>
        <tr r="B11" s="5"/>
      </tp>
      <tp>
        <v>5.2</v>
        <stp/>
        <stp>Live</stp>
        <stp>{2781},Last</stp>
        <tr r="B37" s="5"/>
      </tp>
      <tp t="s">
        <v>21/07/2017</v>
        <stp/>
        <stp>Live</stp>
        <stp>{2101},Date</stp>
        <tr r="M11" s="5"/>
      </tp>
      <tp t="s">
        <v>21/07/2017</v>
        <stp/>
        <stp>Live</stp>
        <stp>{2781},Date</stp>
        <tr r="M37" s="5"/>
      </tp>
      <tp t="s">
        <v>21/07/2017</v>
        <stp/>
        <stp>Live</stp>
        <stp>{1991},Date</stp>
        <tr r="M49" s="5"/>
      </tp>
      <tp t="s">
        <v>16:36:17</v>
        <stp/>
        <stp>Live</stp>
        <stp>{2949},Time</stp>
        <tr r="L50" s="5"/>
      </tp>
      <tp t="s">
        <v>16:36:22</v>
        <stp/>
        <stp>Live</stp>
        <stp>{1259},Time</stp>
        <tr r="L10" s="5"/>
      </tp>
      <tp>
        <v>66569523</v>
        <stp/>
        <stp>Live</stp>
        <stp>{98854},Value</stp>
        <tr r="J14" s="5"/>
      </tp>
      <tp>
        <v>46218434</v>
        <stp/>
        <stp>Live</stp>
        <stp>{88757},Value</stp>
        <tr r="J18" s="5"/>
      </tp>
      <tp>
        <v>113159269</v>
        <stp/>
        <stp>Live</stp>
        <stp>{98188},Value</stp>
        <tr r="J5" s="5"/>
      </tp>
      <tp>
        <v>957143</v>
        <stp/>
        <stp>Live</stp>
        <stp>{99863},Value</stp>
        <tr r="J51" s="5"/>
      </tp>
      <tp>
        <v>19</v>
        <stp/>
        <stp>Live</stp>
        <stp>{1253},Last</stp>
        <tr r="B19" s="5"/>
      </tp>
      <tp>
        <v>151</v>
        <stp/>
        <stp>Live</stp>
        <stp>{1103},Last</stp>
        <tr r="B27" s="5"/>
      </tp>
      <tp>
        <v>197</v>
        <stp/>
        <stp>Live</stp>
        <stp>{2953},Last</stp>
        <tr r="B41" s="5"/>
      </tp>
      <tp>
        <v>1.27</v>
        <stp/>
        <stp>Live</stp>
        <stp>{2183},Last</stp>
        <tr r="B28" s="5"/>
      </tp>
      <tp>
        <v>24631938</v>
        <stp/>
        <stp>Live</stp>
        <stp>{99543},Value</stp>
        <tr r="J48" s="5"/>
      </tp>
      <tp t="s">
        <v>21/07/2017</v>
        <stp/>
        <stp>Live</stp>
        <stp>{2953},Date</stp>
        <tr r="M41" s="5"/>
      </tp>
      <tp t="s">
        <v>21/07/2017</v>
        <stp/>
        <stp>Live</stp>
        <stp>{2183},Date</stp>
        <tr r="M28" s="5"/>
      </tp>
      <tp t="s">
        <v>21/07/2017</v>
        <stp/>
        <stp>Live</stp>
        <stp>{1253},Date</stp>
        <tr r="M19" s="5"/>
      </tp>
      <tp>
        <v>19819709</v>
        <stp/>
        <stp>Live</stp>
        <stp>{49129},Value</stp>
        <tr r="J31" s="5"/>
      </tp>
      <tp t="s">
        <v>21/07/2017</v>
        <stp/>
        <stp>Live</stp>
        <stp>{1103},Date</stp>
        <tr r="M27" s="5"/>
      </tp>
      <tp>
        <v>180.5</v>
        <stp/>
        <stp>Live</stp>
        <stp>{2104},Last</stp>
        <tr r="B17" s="5"/>
      </tp>
      <tp t="s">
        <v>21/07/2017</v>
        <stp/>
        <stp>Live</stp>
        <stp>{2104},Date</stp>
        <tr r="M17" s="5"/>
      </tp>
      <tp>
        <v>1407</v>
        <stp/>
        <stp>Live</stp>
        <stp>{1991},PNumTicks</stp>
        <tr r="D49" s="5"/>
      </tp>
      <tp>
        <v>228</v>
        <stp/>
        <stp>Live</stp>
        <stp>{1170},PNumTicks</stp>
        <tr r="D34" s="5"/>
      </tp>
      <tp>
        <v>1189</v>
        <stp/>
        <stp>Live</stp>
        <stp>{1110},PNumTicks</stp>
        <tr r="D45" s="5"/>
      </tp>
      <tp>
        <v>4066</v>
        <stp/>
        <stp>Live</stp>
        <stp>{1103},PNumTicks</stp>
        <tr r="D27" s="5"/>
      </tp>
      <tp>
        <v>2735</v>
        <stp/>
        <stp>Live</stp>
        <stp>{1259},PNumTicks</stp>
        <tr r="D10" s="5"/>
      </tp>
      <tp>
        <v>962</v>
        <stp/>
        <stp>Live</stp>
        <stp>{1253},PNumTicks</stp>
        <tr r="D19" s="5"/>
      </tp>
      <tp>
        <v>51.25</v>
        <stp/>
        <stp>Live</stp>
        <stp>{2026},Last</stp>
        <tr r="B13" s="5"/>
      </tp>
      <tp t="s">
        <v>21/07/2017</v>
        <stp/>
        <stp>Live</stp>
        <stp>{2026},Date</stp>
        <tr r="M13" s="5"/>
      </tp>
      <tp>
        <v>2301</v>
        <stp/>
        <stp>Live</stp>
        <stp>{2953},PNumTicks</stp>
        <tr r="D41" s="5"/>
      </tp>
      <tp>
        <v>2576</v>
        <stp/>
        <stp>Live</stp>
        <stp>{2949},PNumTicks</stp>
        <tr r="D50" s="5"/>
      </tp>
      <tp>
        <v>5639</v>
        <stp/>
        <stp>Live</stp>
        <stp>{2937},PNumTicks</stp>
        <tr r="D29" s="5"/>
      </tp>
      <tp>
        <v>1413</v>
        <stp/>
        <stp>Live</stp>
        <stp>{2183},PNumTicks</stp>
        <tr r="D28" s="5"/>
      </tp>
      <tp>
        <v>2137</v>
        <stp/>
        <stp>Live</stp>
        <stp>{2104},PNumTicks</stp>
        <tr r="D17" s="5"/>
      </tp>
      <tp>
        <v>2977</v>
        <stp/>
        <stp>Live</stp>
        <stp>{2101},PNumTicks</stp>
        <tr r="D11" s="5"/>
      </tp>
      <tp>
        <v>3147</v>
        <stp/>
        <stp>Live</stp>
        <stp>{2060},PNumTicks</stp>
        <tr r="D22" s="5"/>
      </tp>
      <tp>
        <v>6188</v>
        <stp/>
        <stp>Live</stp>
        <stp>{2026},PNumTicks</stp>
        <tr r="D13" s="5"/>
      </tp>
      <tp>
        <v>1948</v>
        <stp/>
        <stp>Live</stp>
        <stp>{2781},PNumTicks</stp>
        <tr r="D37" s="5"/>
      </tp>
      <tp>
        <v>18.2</v>
        <stp/>
        <stp>Live</stp>
        <stp>{2937},Last</stp>
        <tr r="B29" s="5"/>
      </tp>
      <tp t="s">
        <v>21/07/2017</v>
        <stp/>
        <stp>Live</stp>
        <stp>{2937},Date</stp>
        <tr r="M29" s="5"/>
      </tp>
      <tp>
        <v>34733821320.889999</v>
        <stp/>
        <stp>Live</stp>
        <stp>{2183},MktCap.</stp>
        <tr r="K28" s="5"/>
      </tp>
      <tp>
        <v>106258980079.2</v>
        <stp/>
        <stp>Live</stp>
        <stp>{2781},MktCap.</stp>
        <tr r="K37" s="5"/>
      </tp>
      <tp>
        <v>20079600</v>
        <stp/>
        <stp>Live</stp>
        <stp>{105304},BuyVol</stp>
        <tr r="F26" s="5"/>
      </tp>
      <tp>
        <v>13199700</v>
        <stp/>
        <stp>Live</stp>
        <stp>{104340},BuyVol</stp>
        <tr r="F44" s="5"/>
      </tp>
      <tp>
        <v>332</v>
        <stp/>
        <stp>Live</stp>
        <stp>{45275},P2NumTicks</stp>
        <tr r="E12" s="5"/>
      </tp>
      <tp>
        <v>675</v>
        <stp/>
        <stp>Live</stp>
        <stp>{92200},P2NumTicks</stp>
        <tr r="E9" s="5"/>
      </tp>
      <tp>
        <v>550022636050</v>
        <stp/>
        <stp>Live</stp>
        <stp>{1991},MktCap.</stp>
        <tr r="K49" s="5"/>
      </tp>
      <tp>
        <v>389</v>
        <stp/>
        <stp>Live</stp>
        <stp>{37386},P2NumTicks</stp>
        <tr r="E24" s="5"/>
      </tp>
      <tp>
        <v>24604200</v>
        <stp/>
        <stp>Live</stp>
        <stp>{105198},BuyVol</stp>
        <tr r="F47" s="5"/>
      </tp>
      <tp>
        <v>7115</v>
        <stp/>
        <stp>Live</stp>
        <stp>{33088},P2NumTicks</stp>
        <tr r="E43" s="5"/>
      </tp>
      <tp>
        <v>1985</v>
        <stp/>
        <stp>Live</stp>
        <stp>{34073},P2NumTicks</stp>
        <tr r="E3" s="5"/>
      </tp>
      <tp>
        <v>4855000</v>
        <stp/>
        <stp>Live</stp>
        <stp>{844},SellVol</stp>
        <tr r="G38" s="5"/>
      </tp>
      <tp>
        <v>2960100</v>
        <stp/>
        <stp>Live</stp>
        <stp>{847},SellVol</stp>
        <tr r="G39" s="5"/>
      </tp>
      <tp>
        <v>194</v>
        <stp/>
        <stp>Live</stp>
        <stp>{47027},P2NumTicks</stp>
        <tr r="E8" s="5"/>
      </tp>
      <tp>
        <v>1301</v>
        <stp/>
        <stp>Live</stp>
        <stp>{96018},P2NumTicks</stp>
        <tr r="E4" s="5"/>
      </tp>
      <tp>
        <v>1122</v>
        <stp/>
        <stp>Live</stp>
        <stp>{98188},P2NumTicks</stp>
        <tr r="E5" s="5"/>
      </tp>
      <tp>
        <v>9015</v>
        <stp/>
        <stp>Live</stp>
        <stp>{49129},P2NumTicks</stp>
        <tr r="E31" s="5"/>
      </tp>
      <tp>
        <v>574</v>
        <stp/>
        <stp>Live</stp>
        <stp>{36697},P2NumTicks</stp>
        <tr r="E20" s="5"/>
      </tp>
      <tp>
        <v>141</v>
        <stp/>
        <stp>Live</stp>
        <stp>{44672},P2NumTicks</stp>
        <tr r="E35" s="5"/>
      </tp>
      <tp>
        <v>1098</v>
        <stp/>
        <stp>Live</stp>
        <stp>{24650},P2NumTicks</stp>
        <tr r="E15" s="5"/>
      </tp>
      <tp>
        <v>42755600</v>
        <stp/>
        <stp>Live</stp>
        <stp>{917},BuyVol</stp>
        <tr r="F33" s="5"/>
      </tp>
      <tp>
        <v>2030</v>
        <stp/>
        <stp>Live</stp>
        <stp>{2949},NumT</stp>
        <tr r="C50" s="5"/>
      </tp>
      <tp>
        <v>4290</v>
        <stp/>
        <stp>Live</stp>
        <stp>{1259},NumT</stp>
        <tr r="C10" s="5"/>
      </tp>
      <tp>
        <v>397</v>
        <stp/>
        <stp>Live</stp>
        <stp>{88757},P2NumTicks</stp>
        <tr r="E18" s="5"/>
      </tp>
      <tp>
        <v>2412400</v>
        <stp/>
        <stp>Live</stp>
        <stp>{847},BuyVol</stp>
        <tr r="F39" s="5"/>
      </tp>
      <tp>
        <v>3711500</v>
        <stp/>
        <stp>Live</stp>
        <stp>{844},BuyVol</stp>
        <tr r="F38" s="5"/>
      </tp>
      <tp>
        <v>28</v>
        <stp/>
        <stp>Live</stp>
        <stp>{36723},P2NumTicks</stp>
        <tr r="E21" s="5"/>
      </tp>
      <tp>
        <v>2120</v>
        <stp/>
        <stp>Live</stp>
        <stp>{62729},P2NumTicks</stp>
        <tr r="E32" s="5"/>
      </tp>
      <tp>
        <v>1204</v>
        <stp/>
        <stp>Live</stp>
        <stp>{45710},P2NumTicks</stp>
        <tr r="E16" s="5"/>
      </tp>
      <tp>
        <v>621</v>
        <stp/>
        <stp>Live</stp>
        <stp>{85712},P2NumTicks</stp>
        <tr r="E30" s="5"/>
      </tp>
      <tp>
        <v>11442900</v>
        <stp/>
        <stp>Live</stp>
        <stp>{104511},BuyVol</stp>
        <tr r="F42" s="5"/>
      </tp>
      <tp>
        <v>62210800</v>
        <stp/>
        <stp>Live</stp>
        <stp>{102551},BuyVol</stp>
        <tr r="F40" s="5"/>
      </tp>
      <tp>
        <v>4354</v>
        <stp/>
        <stp>Live</stp>
        <stp>{75467},P2NumTicks</stp>
        <tr r="E36" s="5"/>
      </tp>
      <tp>
        <v>928</v>
        <stp/>
        <stp>Live</stp>
        <stp>{35466},P2NumTicks</stp>
        <tr r="E25" s="5"/>
      </tp>
      <tp>
        <v>126016100</v>
        <stp/>
        <stp>Live</stp>
        <stp>{105417},BuyVol</stp>
        <tr r="F2" s="5"/>
      </tp>
      <tp>
        <v>81340000</v>
        <stp/>
        <stp>Live</stp>
        <stp>{917},SellVol</stp>
        <tr r="G33" s="5"/>
      </tp>
      <tp>
        <v>357</v>
        <stp/>
        <stp>Live</stp>
        <stp>{99543},P2NumTicks</stp>
        <tr r="E48" s="5"/>
      </tp>
      <tp>
        <v>512705483956</v>
        <stp/>
        <stp>Live</stp>
        <stp>{1103},MktCap.</stp>
        <tr r="K27" s="5"/>
      </tp>
      <tp>
        <v>84655578446</v>
        <stp/>
        <stp>Live</stp>
        <stp>{2101},MktCap.</stp>
        <tr r="K11" s="5"/>
      </tp>
      <tp>
        <v>2880</v>
        <stp/>
        <stp>Live</stp>
        <stp>{2104},NumT</stp>
        <tr r="C17" s="5"/>
      </tp>
      <tp>
        <v>344546142367</v>
        <stp/>
        <stp>Live</stp>
        <stp>{2104},MktCap.</stp>
        <tr r="K17" s="5"/>
      </tp>
      <tp>
        <v>600000000000</v>
        <stp/>
        <stp>Live</stp>
        <stp>{1110},MktCap.</stp>
        <tr r="K45" s="5"/>
      </tp>
      <tp>
        <v>68730300</v>
        <stp/>
        <stp>Live</stp>
        <stp>{103987},BuyVol</stp>
        <tr r="F7" s="5"/>
      </tp>
      <tp>
        <v>732142125000</v>
        <stp/>
        <stp>Live</stp>
        <stp>{2026},MktCap.</stp>
        <tr r="K13" s="5"/>
      </tp>
      <tp>
        <v>4716</v>
        <stp/>
        <stp>Live</stp>
        <stp>{2026},NumT</stp>
        <tr r="C13" s="5"/>
      </tp>
      <tp>
        <v>629</v>
        <stp/>
        <stp>Live</stp>
        <stp>{46865},P2NumTicks</stp>
        <tr r="E23" s="5"/>
      </tp>
      <tp>
        <v>324</v>
        <stp/>
        <stp>Live</stp>
        <stp>{99863},P2NumTicks</stp>
        <tr r="E51" s="5"/>
      </tp>
      <tp>
        <v>1104</v>
        <stp/>
        <stp>Live</stp>
        <stp>{98854},P2NumTicks</stp>
        <tr r="E14" s="5"/>
      </tp>
      <tp>
        <v>254364314750</v>
        <stp/>
        <stp>Live</stp>
        <stp>{2937},MktCap.</stp>
        <tr r="K29" s="5"/>
      </tp>
      <tp>
        <v>2619</v>
        <stp/>
        <stp>Live</stp>
        <stp>{2937},NumT</stp>
        <tr r="C29" s="5"/>
      </tp>
      <tp>
        <v>209</v>
        <stp/>
        <stp>Live</stp>
        <stp>{87998},P2NumTicks</stp>
        <tr r="E6" s="5"/>
      </tp>
      <tp>
        <v>1589</v>
        <stp/>
        <stp>Live</stp>
        <stp>{36970},P2NumTicks</stp>
        <tr r="E46" s="5"/>
      </tp>
      <tp>
        <v>2903</v>
        <stp/>
        <stp>Live</stp>
        <stp>{2060},NumT</stp>
        <tr r="C22" s="5"/>
      </tp>
      <tp>
        <v>2068</v>
        <stp/>
        <stp>Live</stp>
        <stp>{1170},NumT</stp>
        <tr r="C34" s="5"/>
      </tp>
      <tp>
        <v>1746</v>
        <stp/>
        <stp>Live</stp>
        <stp>{1110},NumT</stp>
        <tr r="C45" s="5"/>
      </tp>
      <tp>
        <v>28748424880.5</v>
        <stp/>
        <stp>Live</stp>
        <stp>{2949},MktCap.</stp>
        <tr r="K50" s="5"/>
      </tp>
      <tp>
        <v>41472666423</v>
        <stp/>
        <stp>Live</stp>
        <stp>{1253},MktCap.</stp>
        <tr r="K19" s="5"/>
      </tp>
      <tp>
        <v>471472258021</v>
        <stp/>
        <stp>Live</stp>
        <stp>{2953},MktCap.</stp>
        <tr r="K41" s="5"/>
      </tp>
      <tp>
        <v>3969</v>
        <stp/>
        <stp>Live</stp>
        <stp>{2101},NumT</stp>
        <tr r="C11" s="5"/>
      </tp>
      <tp>
        <v>2517</v>
        <stp/>
        <stp>Live</stp>
        <stp>{2781},NumT</stp>
        <tr r="C37" s="5"/>
      </tp>
      <tp>
        <v>1739</v>
        <stp/>
        <stp>Live</stp>
        <stp>{1991},NumT</stp>
        <tr r="C49" s="5"/>
      </tp>
      <tp>
        <v>104338864112.98</v>
        <stp/>
        <stp>Live</stp>
        <stp>{1259},MktCap.</stp>
        <tr r="K10" s="5"/>
      </tp>
      <tp>
        <v>171362341332</v>
        <stp/>
        <stp>Live</stp>
        <stp>{2060},MktCap.</stp>
        <tr r="K22" s="5"/>
      </tp>
      <tp>
        <v>13028058940.75</v>
        <stp/>
        <stp>Live</stp>
        <stp>{1170},MktCap.</stp>
        <tr r="K34" s="5"/>
      </tp>
      <tp>
        <v>1891</v>
        <stp/>
        <stp>Live</stp>
        <stp>{2953},NumT</stp>
        <tr r="C41" s="5"/>
      </tp>
      <tp>
        <v>2361</v>
        <stp/>
        <stp>Live</stp>
        <stp>{2183},NumT</stp>
        <tr r="C28" s="5"/>
      </tp>
      <tp>
        <v>2647</v>
        <stp/>
        <stp>Live</stp>
        <stp>{1253},NumT</stp>
        <tr r="C19" s="5"/>
      </tp>
      <tp>
        <v>3449</v>
        <stp/>
        <stp>Live</stp>
        <stp>{1103},NumT</stp>
        <tr r="C27" s="5"/>
      </tp>
      <tp>
        <v>1954</v>
        <stp/>
        <stp>Live</stp>
        <stp>{1991},P2NumTicks</stp>
        <tr r="E49" s="5"/>
      </tp>
      <tp>
        <v>1214</v>
        <stp/>
        <stp>Live</stp>
        <stp>{2953},P2NumTicks</stp>
        <tr r="E41" s="5"/>
      </tp>
      <tp>
        <v>3855</v>
        <stp/>
        <stp>Live</stp>
        <stp>{2949},P2NumTicks</stp>
        <tr r="E50" s="5"/>
      </tp>
      <tp>
        <v>2232</v>
        <stp/>
        <stp>Live</stp>
        <stp>{2937},P2NumTicks</stp>
        <tr r="E29" s="5"/>
      </tp>
      <tp>
        <v>4404</v>
        <stp/>
        <stp>Live</stp>
        <stp>{24650},NumT</stp>
        <tr r="C15" s="5"/>
      </tp>
      <tp t="s">
        <v>TRUE</v>
        <stp/>
        <stp>Live</stp>
        <stp>{917},Symbol</stp>
        <tr r="A33" s="5"/>
      </tp>
      <tp>
        <v>15467393</v>
        <stp/>
        <stp>Live</stp>
        <stp>{105198},Value</stp>
        <tr r="J47" s="5"/>
      </tp>
      <tp>
        <v>51525886</v>
        <stp/>
        <stp>Live</stp>
        <stp>{105304},Value</stp>
        <tr r="J26" s="5"/>
      </tp>
      <tp>
        <v>3821331650</v>
        <stp/>
        <stp>Live</stp>
        <stp>{105417},Value</stp>
        <tr r="J2" s="5"/>
      </tp>
      <tp>
        <v>4557</v>
        <stp/>
        <stp>Live</stp>
        <stp>{47027},NumT</stp>
        <tr r="C8" s="5"/>
      </tp>
      <tp>
        <v>1900</v>
        <stp/>
        <stp>Live</stp>
        <stp>{36970},NumT</stp>
        <tr r="C46" s="5"/>
      </tp>
      <tp t="s">
        <v>HANA</v>
        <stp/>
        <stp>Live</stp>
        <stp>{847},Symbol</stp>
        <tr r="A39" s="5"/>
      </tp>
      <tp t="s">
        <v>PTTGC</v>
        <stp/>
        <stp>Live</stp>
        <stp>{844},Symbol</stp>
        <tr r="A38" s="5"/>
      </tp>
      <tp>
        <v>124011492</v>
        <stp/>
        <stp>Live</stp>
        <stp>{104340},Value</stp>
        <tr r="J44" s="5"/>
      </tp>
      <tp>
        <v>28201067</v>
        <stp/>
        <stp>Live</stp>
        <stp>{104511},Value</stp>
        <tr r="J42" s="5"/>
      </tp>
      <tp t="s">
        <v>CI-W1</v>
        <stp/>
        <stp>Live</stp>
        <stp>{104511},Symbol</stp>
        <tr r="A42" s="5"/>
      </tp>
      <tp t="s">
        <v>NPP-W3</v>
        <stp/>
        <stp>Live</stp>
        <stp>{102551},Symbol</stp>
        <tr r="A40" s="5"/>
      </tp>
      <tp>
        <v>0.05</v>
        <stp/>
        <stp>Live</stp>
        <stp>{103987},Change</stp>
        <tr r="H7" s="5"/>
      </tp>
      <tp>
        <v>4842</v>
        <stp/>
        <stp>Live</stp>
        <stp>{87998},NumT</stp>
        <tr r="C6" s="5"/>
      </tp>
      <tp>
        <v>2412</v>
        <stp/>
        <stp>Live</stp>
        <stp>{36723},NumT</stp>
        <tr r="C21" s="5"/>
      </tp>
      <tp>
        <v>2113</v>
        <stp/>
        <stp>Live</stp>
        <stp>{75467},NumT</stp>
        <tr r="C36" s="5"/>
      </tp>
      <tp>
        <v>17134</v>
        <stp/>
        <stp>Live</stp>
        <stp>{34073},NumT</stp>
        <tr r="C3" s="5"/>
      </tp>
      <tp t="s">
        <v>BGRIM</v>
        <stp/>
        <stp>Live</stp>
        <stp>{105417},Symbol</stp>
        <tr r="A2" s="5"/>
      </tp>
      <tp>
        <v>2465</v>
        <stp/>
        <stp>Live</stp>
        <stp>{46865},NumT</stp>
        <tr r="C23" s="5"/>
      </tp>
      <tp>
        <v>6480</v>
        <stp/>
        <stp>Live</stp>
        <stp>{96018},NumT</stp>
        <tr r="C4" s="5"/>
      </tp>
      <tp>
        <v>3855</v>
        <stp/>
        <stp>Live</stp>
        <stp>{45275},NumT</stp>
        <tr r="C12" s="5"/>
      </tp>
      <tp>
        <v>5586</v>
        <stp/>
        <stp>Live</stp>
        <stp>{98188},NumT</stp>
        <tr r="C5" s="5"/>
      </tp>
      <tp t="s">
        <v>CRANE-W1</v>
        <stp/>
        <stp>Live</stp>
        <stp>{105304},Symbol</stp>
        <tr r="A26" s="5"/>
      </tp>
      <tp t="s">
        <v>JMART-W2</v>
        <stp/>
        <stp>Live</stp>
        <stp>{104340},Symbol</stp>
        <tr r="A44" s="5"/>
      </tp>
      <tp>
        <v>2618</v>
        <stp/>
        <stp>Live</stp>
        <stp>{44672},NumT</stp>
        <tr r="C35" s="5"/>
      </tp>
      <tp t="s">
        <v>RICHY-W2</v>
        <stp/>
        <stp>Live</stp>
        <stp>{105198},Symbol</stp>
        <tr r="A47" s="5"/>
      </tp>
      <tp>
        <v>2673</v>
        <stp/>
        <stp>Live</stp>
        <stp>{36697},NumT</stp>
        <tr r="C20" s="5"/>
      </tp>
      <tp>
        <v>2860</v>
        <stp/>
        <stp>Live</stp>
        <stp>{45710},NumT</stp>
        <tr r="C16" s="5"/>
      </tp>
      <tp>
        <v>95787194</v>
        <stp/>
        <stp>Live</stp>
        <stp>{103987},Value</stp>
        <tr r="J7" s="5"/>
      </tp>
      <tp>
        <v>2497</v>
        <stp/>
        <stp>Live</stp>
        <stp>{37386},NumT</stp>
        <tr r="C24" s="5"/>
      </tp>
      <tp>
        <v>2690</v>
        <stp/>
        <stp>Live</stp>
        <stp>{35466},NumT</stp>
        <tr r="C25" s="5"/>
      </tp>
      <tp>
        <v>37224666</v>
        <stp/>
        <stp>Live</stp>
        <stp>{102551},Value</stp>
        <tr r="J40" s="5"/>
      </tp>
      <tp>
        <v>-0.05</v>
        <stp/>
        <stp>Live</stp>
        <stp>{105304},Change</stp>
        <tr r="H26" s="5"/>
      </tp>
      <tp>
        <v>3673</v>
        <stp/>
        <stp>Live</stp>
        <stp>{2183},P2NumTicks</stp>
        <tr r="E28" s="5"/>
      </tp>
      <tp>
        <v>-0.16</v>
        <stp/>
        <stp>Live</stp>
        <stp>{104340},Change</stp>
        <tr r="H44" s="5"/>
      </tp>
      <tp>
        <v>439</v>
        <stp/>
        <stp>Live</stp>
        <stp>{1170},P2NumTicks</stp>
        <tr r="E34" s="5"/>
      </tp>
      <tp>
        <v>992</v>
        <stp/>
        <stp>Live</stp>
        <stp>{1110},P2NumTicks</stp>
        <tr r="E45" s="5"/>
      </tp>
      <tp>
        <v>1068</v>
        <stp/>
        <stp>Live</stp>
        <stp>{2104},P2NumTicks</stp>
        <tr r="E17" s="5"/>
      </tp>
      <tp>
        <v>7052</v>
        <stp/>
        <stp>Live</stp>
        <stp>{2101},P2NumTicks</stp>
        <tr r="E11" s="5"/>
      </tp>
      <tp>
        <v>2435</v>
        <stp/>
        <stp>Live</stp>
        <stp>{1103},P2NumTicks</stp>
        <tr r="E27" s="5"/>
      </tp>
      <tp>
        <v>4005</v>
        <stp/>
        <stp>Live</stp>
        <stp>{85712},NumT</stp>
        <tr r="C30" s="5"/>
      </tp>
      <tp>
        <v>1275</v>
        <stp/>
        <stp>Live</stp>
        <stp>{99863},NumT</stp>
        <tr r="C51" s="5"/>
      </tp>
      <tp>
        <v>1469</v>
        <stp/>
        <stp>Live</stp>
        <stp>{99543},NumT</stp>
        <tr r="C48" s="5"/>
      </tp>
      <tp>
        <v>5037</v>
        <stp/>
        <stp>Live</stp>
        <stp>{2060},P2NumTicks</stp>
        <tr r="E22" s="5"/>
      </tp>
      <tp>
        <v>2818</v>
        <stp/>
        <stp>Live</stp>
        <stp>{2026},P2NumTicks</stp>
        <tr r="E13" s="5"/>
      </tp>
      <tp>
        <v>2428</v>
        <stp/>
        <stp>Live</stp>
        <stp>{33088},NumT</stp>
        <tr r="C43" s="5"/>
      </tp>
      <tp>
        <v>0.03</v>
        <stp/>
        <stp>Live</stp>
        <stp>{105198},Change</stp>
        <tr r="H47" s="5"/>
      </tp>
      <tp>
        <v>2265</v>
        <stp/>
        <stp>Live</stp>
        <stp>{1259},P2NumTicks</stp>
        <tr r="E10" s="5"/>
      </tp>
      <tp>
        <v>591</v>
        <stp/>
        <stp>Live</stp>
        <stp>{1253},P2NumTicks</stp>
        <tr r="E19" s="5"/>
      </tp>
      <tp>
        <v>4194</v>
        <stp/>
        <stp>Live</stp>
        <stp>{92200},NumT</stp>
        <tr r="C9" s="5"/>
      </tp>
      <tp>
        <v>-0.15</v>
        <stp/>
        <stp>Live</stp>
        <stp>{917},Change</stp>
        <tr r="H33" s="5"/>
      </tp>
      <tp>
        <v>2650</v>
        <stp/>
        <stp>Live</stp>
        <stp>{62729},NumT</stp>
        <tr r="C32" s="5"/>
      </tp>
      <tp>
        <v>2824</v>
        <stp/>
        <stp>Live</stp>
        <stp>{88757},NumT</stp>
        <tr r="C18" s="5"/>
      </tp>
      <tp>
        <v>-1.25</v>
        <stp/>
        <stp>Live</stp>
        <stp>{847},Change</stp>
        <tr r="H39" s="5"/>
      </tp>
      <tp>
        <v>0</v>
        <stp/>
        <stp>Live</stp>
        <stp>{844},Change</stp>
        <tr r="H38" s="5"/>
      </tp>
      <tp t="s">
        <v>SMM-W4</v>
        <stp/>
        <stp>Live</stp>
        <stp>{103987},Symbol</stp>
        <tr r="A7" s="5"/>
      </tp>
      <tp>
        <v>-0.22</v>
        <stp/>
        <stp>Live</stp>
        <stp>{104511},Change</stp>
        <tr r="H42" s="5"/>
      </tp>
      <tp>
        <v>2456</v>
        <stp/>
        <stp>Live</stp>
        <stp>{2781},P2NumTicks</stp>
        <tr r="E37" s="5"/>
      </tp>
      <tp>
        <v>-0.03</v>
        <stp/>
        <stp>Live</stp>
        <stp>{102551},Change</stp>
        <tr r="H40" s="5"/>
      </tp>
      <tp>
        <v>0.9</v>
        <stp/>
        <stp>Live</stp>
        <stp>{105417},Change</stp>
        <tr r="H2" s="5"/>
      </tp>
      <tp>
        <v>2085</v>
        <stp/>
        <stp>Live</stp>
        <stp>{49129},NumT</stp>
        <tr r="C31" s="5"/>
      </tp>
      <tp>
        <v>2886</v>
        <stp/>
        <stp>Live</stp>
        <stp>{98854},NumT</stp>
        <tr r="C14" s="5"/>
      </tp>
      <tp>
        <v>1614200</v>
        <stp/>
        <stp>Live</stp>
        <stp>{1110},SellVol</stp>
        <tr r="G45" s="5"/>
      </tp>
      <tp>
        <v>0.18</v>
        <stp/>
        <stp>Live</stp>
        <stp>{44672},Last</stp>
        <tr r="B35" s="5"/>
      </tp>
      <tp t="s">
        <v>21/07/2017</v>
        <stp/>
        <stp>Live</stp>
        <stp>{44672},Date</stp>
        <tr r="M35" s="5"/>
      </tp>
      <tp>
        <v>4561100</v>
        <stp/>
        <stp>Live</stp>
        <stp>{1103},SellVol</stp>
        <tr r="G27" s="5"/>
      </tp>
      <tp>
        <v>39408000</v>
        <stp/>
        <stp>Live</stp>
        <stp>{2101},SellVol</stp>
        <tr r="G11" s="5"/>
      </tp>
      <tp>
        <v>52715300</v>
        <stp/>
        <stp>Live</stp>
        <stp>{105198},Volume</stp>
        <tr r="I47" s="5"/>
      </tp>
      <tp>
        <v>4105400</v>
        <stp/>
        <stp>Live</stp>
        <stp>{2104},SellVol</stp>
        <tr r="G17" s="5"/>
      </tp>
      <tp t="s">
        <v>16:36:19</v>
        <stp/>
        <stp>Live</stp>
        <stp>{62729},Time</stp>
        <tr r="L32" s="5"/>
      </tp>
      <tp t="s">
        <v>16:36:16</v>
        <stp/>
        <stp>Live</stp>
        <stp>{88757},Time</stp>
        <tr r="L18" s="5"/>
      </tp>
      <tp>
        <v>2893</v>
        <stp/>
        <stp>Live</stp>
        <stp>{917},PNumTicks</stp>
        <tr r="D33" s="5"/>
      </tp>
      <tp>
        <v>2071</v>
        <stp/>
        <stp>Live</stp>
        <stp>{847},PNumTicks</stp>
        <tr r="D39" s="5"/>
      </tp>
      <tp>
        <v>3102</v>
        <stp/>
        <stp>Live</stp>
        <stp>{844},PNumTicks</stp>
        <tr r="D38" s="5"/>
      </tp>
      <tp>
        <v>26229400</v>
        <stp/>
        <stp>Live</stp>
        <stp>{2937},SellVol</stp>
        <tr r="G29" s="5"/>
      </tp>
      <tp>
        <v>1.18</v>
        <stp/>
        <stp>Live</stp>
        <stp>{45710},Last</stp>
        <tr r="B16" s="5"/>
      </tp>
      <tp>
        <v>0.61</v>
        <stp/>
        <stp>Live</stp>
        <stp>{36697},Last</stp>
        <tr r="B20" s="5"/>
      </tp>
      <tp t="s">
        <v>21/07/2017</v>
        <stp/>
        <stp>Live</stp>
        <stp>{36697},Date</stp>
        <tr r="M20" s="5"/>
      </tp>
      <tp t="s">
        <v>21/07/2017</v>
        <stp/>
        <stp>Live</stp>
        <stp>{45710},Date</stp>
        <tr r="M16" s="5"/>
      </tp>
      <tp>
        <v>12596300</v>
        <stp/>
        <stp>Live</stp>
        <stp>{2026},SellVol</stp>
        <tr r="G13" s="5"/>
      </tp>
      <tp>
        <v>28792200</v>
        <stp/>
        <stp>Live</stp>
        <stp>{104340},Volume</stp>
        <tr r="I44" s="5"/>
      </tp>
      <tp>
        <v>46343400</v>
        <stp/>
        <stp>Live</stp>
        <stp>{105304},Volume</stp>
        <tr r="I26" s="5"/>
      </tp>
      <tp t="s">
        <v>16:36:21</v>
        <stp/>
        <stp>Live</stp>
        <stp>{49129},Time</stp>
        <tr r="L31" s="5"/>
      </tp>
      <tp t="s">
        <v>16:36:23</v>
        <stp/>
        <stp>Live</stp>
        <stp>{98854},Time</stp>
        <tr r="L14" s="5"/>
      </tp>
      <tp>
        <v>10.8</v>
        <stp/>
        <stp>Live</stp>
        <stp>{35466},Last</stp>
        <tr r="B25" s="5"/>
      </tp>
      <tp>
        <v>0.24</v>
        <stp/>
        <stp>Live</stp>
        <stp>{37386},Last</stp>
        <tr r="B24" s="5"/>
      </tp>
      <tp t="s">
        <v>21/07/2017</v>
        <stp/>
        <stp>Live</stp>
        <stp>{37386},Date</stp>
        <tr r="M24" s="5"/>
      </tp>
      <tp t="s">
        <v>21/07/2017</v>
        <stp/>
        <stp>Live</stp>
        <stp>{35466},Date</stp>
        <tr r="M25" s="5"/>
      </tp>
      <tp>
        <v>3112200</v>
        <stp/>
        <stp>Live</stp>
        <stp>{2953},SellVol</stp>
        <tr r="G41" s="5"/>
      </tp>
      <tp>
        <v>7983900</v>
        <stp/>
        <stp>Live</stp>
        <stp>{1253},SellVol</stp>
        <tr r="G19" s="5"/>
      </tp>
      <tp>
        <v>101030400</v>
        <stp/>
        <stp>Live</stp>
        <stp>{1259},SellVol</stp>
        <tr r="G10" s="5"/>
      </tp>
      <tp>
        <v>206459100</v>
        <stp/>
        <stp>Live</stp>
        <stp>{105417},Volume</stp>
        <tr r="I2" s="5"/>
      </tp>
      <tp t="s">
        <v>16:36:20</v>
        <stp/>
        <stp>Live</stp>
        <stp>{85712},Time</stp>
        <tr r="L30" s="5"/>
      </tp>
      <tp t="s">
        <v>16:10:42</v>
        <stp/>
        <stp>Live</stp>
        <stp>{99863},Time</stp>
        <tr r="L51" s="5"/>
      </tp>
      <tp t="s">
        <v>16:36:18</v>
        <stp/>
        <stp>Live</stp>
        <stp>{99543},Time</stp>
        <tr r="L48" s="5"/>
      </tp>
      <tp>
        <v>70.25</v>
        <stp/>
        <stp>Live</stp>
        <stp>{24650},Last</stp>
        <tr r="B15" s="5"/>
      </tp>
      <tp t="s">
        <v>21/07/2017</v>
        <stp/>
        <stp>Live</stp>
        <stp>{24650},Date</stp>
        <tr r="M15" s="5"/>
      </tp>
      <tp>
        <v>144421200</v>
        <stp/>
        <stp>Live</stp>
        <stp>{102551},Volume</stp>
        <tr r="I40" s="5"/>
      </tp>
      <tp>
        <v>2047700</v>
        <stp/>
        <stp>Live</stp>
        <stp>{2949},SellVol</stp>
        <tr r="G50" s="5"/>
      </tp>
      <tp>
        <v>38966400</v>
        <stp/>
        <stp>Live</stp>
        <stp>{104511},Volume</stp>
        <tr r="I42" s="5"/>
      </tp>
      <tp t="s">
        <v>16:36:21</v>
        <stp/>
        <stp>Live</stp>
        <stp>{33088},Time</stp>
        <tr r="L43" s="5"/>
      </tp>
      <tp>
        <v>0.17</v>
        <stp/>
        <stp>Live</stp>
        <stp>{47027},Last</stp>
        <tr r="B8" s="5"/>
      </tp>
      <tp>
        <v>19.100000000000001</v>
        <stp/>
        <stp>Live</stp>
        <stp>{36970},Last</stp>
        <tr r="B46" s="5"/>
      </tp>
      <tp t="s">
        <v>21/07/2017</v>
        <stp/>
        <stp>Live</stp>
        <stp>{36970},Date</stp>
        <tr r="M46" s="5"/>
      </tp>
      <tp t="s">
        <v>21/07/2017</v>
        <stp/>
        <stp>Live</stp>
        <stp>{47027},Date</stp>
        <tr r="M8" s="5"/>
      </tp>
      <tp>
        <v>12394900</v>
        <stp/>
        <stp>Live</stp>
        <stp>{1170},SellVol</stp>
        <tr r="G34" s="5"/>
      </tp>
      <tp>
        <v>0.53</v>
        <stp/>
        <stp>Live</stp>
        <stp>{75467},Last</stp>
        <tr r="B36" s="5"/>
      </tp>
      <tp>
        <v>0.54</v>
        <stp/>
        <stp>Live</stp>
        <stp>{34073},Last</stp>
        <tr r="B3" s="5"/>
      </tp>
      <tp>
        <v>0.45</v>
        <stp/>
        <stp>Live</stp>
        <stp>{87998},Last</stp>
        <tr r="B6" s="5"/>
      </tp>
      <tp>
        <v>0.05</v>
        <stp/>
        <stp>Live</stp>
        <stp>{36723},Last</stp>
        <tr r="B21" s="5"/>
      </tp>
      <tp t="s">
        <v>21/07/2017</v>
        <stp/>
        <stp>Live</stp>
        <stp>{36723},Date</stp>
        <tr r="M21" s="5"/>
      </tp>
      <tp t="s">
        <v>21/07/2017</v>
        <stp/>
        <stp>Live</stp>
        <stp>{87998},Date</stp>
        <tr r="M6" s="5"/>
      </tp>
      <tp t="s">
        <v>21/07/2017</v>
        <stp/>
        <stp>Live</stp>
        <stp>{34073},Date</stp>
        <tr r="M3" s="5"/>
      </tp>
      <tp t="s">
        <v>21/07/2017</v>
        <stp/>
        <stp>Live</stp>
        <stp>{75467},Date</stp>
        <tr r="M36" s="5"/>
      </tp>
      <tp>
        <v>9543400</v>
        <stp/>
        <stp>Live</stp>
        <stp>{844},Volume</stp>
        <tr r="I38" s="5"/>
      </tp>
      <tp>
        <v>5739200</v>
        <stp/>
        <stp>Live</stp>
        <stp>{847},Volume</stp>
        <tr r="I39" s="5"/>
      </tp>
      <tp>
        <v>5315100</v>
        <stp/>
        <stp>Live</stp>
        <stp>{2060},SellVol</stp>
        <tr r="G22" s="5"/>
      </tp>
      <tp t="s">
        <v>16:36:15</v>
        <stp/>
        <stp>Live</stp>
        <stp>{92200},Time</stp>
        <tr r="L9" s="5"/>
      </tp>
      <tp t="s">
        <v>21/07/2017</v>
        <stp/>
        <stp>Live</stp>
        <stp>{98188},Date</stp>
        <tr r="M5" s="5"/>
      </tp>
      <tp>
        <v>0.87</v>
        <stp/>
        <stp>Live</stp>
        <stp>{98188},Last</stp>
        <tr r="B5" s="5"/>
      </tp>
      <tp>
        <v>0.3</v>
        <stp/>
        <stp>Live</stp>
        <stp>{45275},Last</stp>
        <tr r="B12" s="5"/>
      </tp>
      <tp>
        <v>0.26</v>
        <stp/>
        <stp>Live</stp>
        <stp>{46865},Last</stp>
        <tr r="B23" s="5"/>
      </tp>
      <tp>
        <v>0.85</v>
        <stp/>
        <stp>Live</stp>
        <stp>{96018},Last</stp>
        <tr r="B4" s="5"/>
      </tp>
      <tp t="s">
        <v>21/07/2017</v>
        <stp/>
        <stp>Live</stp>
        <stp>{46865},Date</stp>
        <tr r="M23" s="5"/>
      </tp>
      <tp t="s">
        <v>21/07/2017</v>
        <stp/>
        <stp>Live</stp>
        <stp>{96018},Date</stp>
        <tr r="M4" s="5"/>
      </tp>
      <tp t="s">
        <v>21/07/2017</v>
        <stp/>
        <stp>Live</stp>
        <stp>{45275},Date</stp>
        <tr r="M12" s="5"/>
      </tp>
      <tp>
        <v>135066400</v>
        <stp/>
        <stp>Live</stp>
        <stp>{917},Volume</stp>
        <tr r="I33" s="5"/>
      </tp>
      <tp>
        <v>2189700</v>
        <stp/>
        <stp>Live</stp>
        <stp>{1991},SellVol</stp>
        <tr r="G49" s="5"/>
      </tp>
      <tp t="s">
        <v>16:36:20</v>
        <stp/>
        <stp>Live</stp>
        <stp>{44672},Time</stp>
        <tr r="L35" s="5"/>
      </tp>
      <tp>
        <v>46265300</v>
        <stp/>
        <stp>Live</stp>
        <stp>{2183},SellVol</stp>
        <tr r="G28" s="5"/>
      </tp>
      <tp>
        <v>52759700</v>
        <stp/>
        <stp>Live</stp>
        <stp>{2781},SellVol</stp>
        <tr r="G37" s="5"/>
      </tp>
      <tp>
        <v>149464400</v>
        <stp/>
        <stp>Live</stp>
        <stp>{103987},Volume</stp>
        <tr r="I7" s="5"/>
      </tp>
      <tp t="s">
        <v>21/07/2017</v>
        <stp/>
        <stp>Live</stp>
        <stp>{88757},Date</stp>
        <tr r="M18" s="5"/>
      </tp>
      <tp>
        <v>0.69</v>
        <stp/>
        <stp>Live</stp>
        <stp>{88757},Last</stp>
        <tr r="B18" s="5"/>
      </tp>
      <tp t="s">
        <v>21/07/2017</v>
        <stp/>
        <stp>Live</stp>
        <stp>{62729},Date</stp>
        <tr r="M32" s="5"/>
      </tp>
      <tp>
        <v>15.7</v>
        <stp/>
        <stp>Live</stp>
        <stp>{62729},Last</stp>
        <tr r="B32" s="5"/>
      </tp>
      <tp t="s">
        <v>16:36:15</v>
        <stp/>
        <stp>Live</stp>
        <stp>{36697},Time</stp>
        <tr r="L20" s="5"/>
      </tp>
      <tp t="s">
        <v>16:36:15</v>
        <stp/>
        <stp>Live</stp>
        <stp>{45710},Time</stp>
        <tr r="L16" s="5"/>
      </tp>
      <tp t="s">
        <v>16:36:22</v>
        <stp/>
        <stp>Live</stp>
        <stp>{37386},Time</stp>
        <tr r="L24" s="5"/>
      </tp>
      <tp t="s">
        <v>16:36:19</v>
        <stp/>
        <stp>Live</stp>
        <stp>{35466},Time</stp>
        <tr r="L25" s="5"/>
      </tp>
      <tp t="s">
        <v>21/07/2017</v>
        <stp/>
        <stp>Live</stp>
        <stp>{98854},Date</stp>
        <tr r="M14" s="5"/>
      </tp>
      <tp t="s">
        <v>21/07/2017</v>
        <stp/>
        <stp>Live</stp>
        <stp>{49129},Date</stp>
        <tr r="M31" s="5"/>
      </tp>
      <tp>
        <v>1</v>
        <stp/>
        <stp>Live</stp>
        <stp>{49129},Last</stp>
        <tr r="B31" s="5"/>
      </tp>
      <tp>
        <v>1.07</v>
        <stp/>
        <stp>Live</stp>
        <stp>{98854},Last</stp>
        <tr r="B14" s="5"/>
      </tp>
      <tp>
        <v>315619438190</v>
        <stp/>
        <stp>Live</stp>
        <stp>{844},MktCap.</stp>
        <tr r="K38" s="5"/>
      </tp>
      <tp>
        <v>36219548700</v>
        <stp/>
        <stp>Live</stp>
        <stp>{847},MktCap.</stp>
        <tr r="K39" s="5"/>
      </tp>
      <tp t="s">
        <v>16:36:18</v>
        <stp/>
        <stp>Live</stp>
        <stp>{24650},Time</stp>
        <tr r="L15" s="5"/>
      </tp>
      <tp t="s">
        <v>21/07/2017</v>
        <stp/>
        <stp>Live</stp>
        <stp>{99863},Date</stp>
        <tr r="M51" s="5"/>
      </tp>
      <tp t="s">
        <v>21/07/2017</v>
        <stp/>
        <stp>Live</stp>
        <stp>{99543},Date</stp>
        <tr r="M48" s="5"/>
      </tp>
      <tp>
        <v>0.22</v>
        <stp/>
        <stp>Live</stp>
        <stp>{99863},Last</stp>
        <tr r="B51" s="5"/>
      </tp>
      <tp>
        <v>0.26</v>
        <stp/>
        <stp>Live</stp>
        <stp>{99543},Last</stp>
        <tr r="B48" s="5"/>
      </tp>
      <tp>
        <v>0.47</v>
        <stp/>
        <stp>Live</stp>
        <stp>{85712},Last</stp>
        <tr r="B30" s="5"/>
      </tp>
      <tp t="s">
        <v>21/07/2017</v>
        <stp/>
        <stp>Live</stp>
        <stp>{85712},Date</stp>
        <tr r="M30" s="5"/>
      </tp>
      <tp t="s">
        <v>16:36:21</v>
        <stp/>
        <stp>Live</stp>
        <stp>{47027},Time</stp>
        <tr r="L8" s="5"/>
      </tp>
      <tp t="s">
        <v>16:36:21</v>
        <stp/>
        <stp>Live</stp>
        <stp>{36970},Time</stp>
        <tr r="L46" s="5"/>
      </tp>
      <tp t="s">
        <v>21/07/2017</v>
        <stp/>
        <stp>Live</stp>
        <stp>{33088},Date</stp>
        <tr r="M43" s="5"/>
      </tp>
      <tp>
        <v>0.35</v>
        <stp/>
        <stp>Live</stp>
        <stp>{33088},Last</stp>
        <tr r="B43" s="5"/>
      </tp>
      <tp t="s">
        <v>16:36:16</v>
        <stp/>
        <stp>Live</stp>
        <stp>{87998},Time</stp>
        <tr r="L6" s="5"/>
      </tp>
      <tp t="s">
        <v>16:36:22</v>
        <stp/>
        <stp>Live</stp>
        <stp>{36723},Time</stp>
        <tr r="L21" s="5"/>
      </tp>
      <tp t="s">
        <v>16:36:16</v>
        <stp/>
        <stp>Live</stp>
        <stp>{75467},Time</stp>
        <tr r="L36" s="5"/>
      </tp>
      <tp t="s">
        <v>16:36:23</v>
        <stp/>
        <stp>Live</stp>
        <stp>{34073},Time</stp>
        <tr r="L3" s="5"/>
      </tp>
      <tp>
        <v>191867122980.75</v>
        <stp/>
        <stp>Live</stp>
        <stp>{917},MktCap.</stp>
        <tr r="K33" s="5"/>
      </tp>
      <tp t="s">
        <v>16:36:22</v>
        <stp/>
        <stp>Live</stp>
        <stp>{46865},Time</stp>
        <tr r="L23" s="5"/>
      </tp>
      <tp t="s">
        <v>16:36:16</v>
        <stp/>
        <stp>Live</stp>
        <stp>{96018},Time</stp>
        <tr r="L4" s="5"/>
      </tp>
      <tp t="s">
        <v>16:36:21</v>
        <stp/>
        <stp>Live</stp>
        <stp>{45275},Time</stp>
        <tr r="L12" s="5"/>
      </tp>
      <tp t="s">
        <v>16:36:19</v>
        <stp/>
        <stp>Live</stp>
        <stp>{98188},Time</stp>
        <tr r="L5" s="5"/>
      </tp>
      <tp t="s">
        <v>21/07/2017</v>
        <stp/>
        <stp>Live</stp>
        <stp>{92200},Date</stp>
        <tr r="M9" s="5"/>
      </tp>
      <tp>
        <v>5.55</v>
        <stp/>
        <stp>Live</stp>
        <stp>{92200},Last</stp>
        <tr r="B9" s="5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volatileDependencies" Target="volatileDependenci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0</xdr:row>
          <xdr:rowOff>38100</xdr:rowOff>
        </xdr:from>
        <xdr:to>
          <xdr:col>37</xdr:col>
          <xdr:colOff>723900</xdr:colOff>
          <xdr:row>1</xdr:row>
          <xdr:rowOff>219075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Select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Area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T103"/>
  <sheetViews>
    <sheetView tabSelected="1" topLeftCell="Y1" zoomScale="60" zoomScaleNormal="60" workbookViewId="0">
      <selection activeCell="AR23" sqref="AR23"/>
    </sheetView>
  </sheetViews>
  <sheetFormatPr defaultRowHeight="15"/>
  <cols>
    <col min="1" max="1" width="15" style="5" bestFit="1" customWidth="1"/>
    <col min="2" max="4" width="9" style="5" customWidth="1"/>
    <col min="5" max="5" width="15" style="5" bestFit="1" customWidth="1"/>
    <col min="6" max="6" width="14.28515625" style="5" bestFit="1" customWidth="1"/>
    <col min="7" max="7" width="10.140625" style="5" customWidth="1"/>
    <col min="8" max="8" width="8.85546875" style="5" customWidth="1"/>
    <col min="9" max="9" width="10" style="5" bestFit="1" customWidth="1"/>
    <col min="10" max="11" width="15" style="5" customWidth="1"/>
    <col min="12" max="15" width="7.85546875" style="5" customWidth="1"/>
    <col min="16" max="16" width="9.28515625" style="5" bestFit="1" customWidth="1"/>
    <col min="17" max="17" width="10" style="5" customWidth="1"/>
    <col min="18" max="18" width="19.5703125" style="5" bestFit="1" customWidth="1"/>
    <col min="19" max="19" width="8.28515625" style="5" customWidth="1"/>
    <col min="20" max="20" width="8.42578125" style="5" customWidth="1"/>
    <col min="21" max="21" width="9.140625" style="5" bestFit="1" customWidth="1"/>
    <col min="22" max="22" width="11.5703125" style="5" bestFit="1" customWidth="1"/>
    <col min="23" max="23" width="13.28515625" style="5" customWidth="1"/>
    <col min="24" max="24" width="17.5703125" style="5" customWidth="1"/>
    <col min="25" max="26" width="12" style="5" customWidth="1"/>
    <col min="27" max="27" width="10.85546875" style="5" customWidth="1"/>
    <col min="28" max="28" width="5" style="5" customWidth="1"/>
    <col min="29" max="29" width="10" style="5" customWidth="1"/>
    <col min="30" max="30" width="13.5703125" style="88" bestFit="1" customWidth="1"/>
    <col min="31" max="31" width="10" style="5" customWidth="1"/>
    <col min="32" max="33" width="10.5703125" style="5" customWidth="1"/>
    <col min="34" max="44" width="17.42578125" style="5" customWidth="1"/>
    <col min="45" max="45" width="13.42578125" style="5" customWidth="1"/>
    <col min="46" max="16384" width="9.140625" style="5"/>
  </cols>
  <sheetData>
    <row r="1" spans="1:46" s="48" customFormat="1" ht="20.25" customHeight="1">
      <c r="A1" s="63">
        <f>V4</f>
        <v>0</v>
      </c>
      <c r="B1" s="51"/>
      <c r="C1" s="51"/>
      <c r="D1" s="51"/>
      <c r="E1" s="51"/>
      <c r="F1" s="51"/>
      <c r="G1" s="52"/>
      <c r="I1" s="47"/>
      <c r="J1" s="51"/>
      <c r="K1" s="51"/>
      <c r="O1" s="52"/>
      <c r="P1" s="53"/>
      <c r="Q1" s="53"/>
      <c r="R1" s="51"/>
      <c r="S1" s="54"/>
      <c r="T1" s="54"/>
      <c r="V1" s="52"/>
      <c r="W1" s="52"/>
      <c r="X1" s="55"/>
      <c r="Y1" s="55"/>
      <c r="Z1" s="55"/>
      <c r="AA1" s="55"/>
      <c r="AB1" s="56"/>
      <c r="AC1" s="47"/>
      <c r="AD1" s="83"/>
      <c r="AE1" s="57"/>
      <c r="AF1" s="49"/>
      <c r="AG1" s="58"/>
      <c r="AH1" s="99">
        <f>V4</f>
        <v>0</v>
      </c>
      <c r="AM1" s="7">
        <v>0.94944444444444442</v>
      </c>
      <c r="AN1" s="8">
        <v>0.41319444444444442</v>
      </c>
      <c r="AO1" s="13" t="str">
        <f>IF(AM1&lt;AR1,IF(AM1&lt;AN1,0,AM1-AN1),"2:30:00")</f>
        <v>2:30:00</v>
      </c>
      <c r="AP1" s="9">
        <f>IF(AN1&lt;AM1,IF(AQ1&lt;0.1041666667,150,AO1*1440),0)</f>
        <v>150</v>
      </c>
      <c r="AQ1" s="10">
        <f>IF(AN1&lt;AM1&lt;AR1,AO1*(1440/270),0)</f>
        <v>0</v>
      </c>
      <c r="AR1" s="90">
        <v>0.52083333333333337</v>
      </c>
      <c r="AS1" s="59"/>
      <c r="AT1" s="49"/>
    </row>
    <row r="2" spans="1:46" s="48" customFormat="1" ht="20.25" customHeight="1" thickBot="1">
      <c r="A2" s="36">
        <f>U4</f>
        <v>0</v>
      </c>
      <c r="B2" s="51"/>
      <c r="C2" s="51"/>
      <c r="D2" s="51"/>
      <c r="E2" s="51"/>
      <c r="F2" s="51"/>
      <c r="G2" s="52"/>
      <c r="I2" s="47"/>
      <c r="J2" s="51"/>
      <c r="K2" s="51"/>
      <c r="O2" s="60"/>
      <c r="P2" s="53"/>
      <c r="Q2" s="53"/>
      <c r="R2" s="51"/>
      <c r="S2" s="55"/>
      <c r="T2" s="55"/>
      <c r="V2" s="52"/>
      <c r="W2" s="52"/>
      <c r="X2" s="51"/>
      <c r="Y2" s="51"/>
      <c r="Z2" s="51"/>
      <c r="AA2" s="51"/>
      <c r="AB2" s="56"/>
      <c r="AC2" s="47"/>
      <c r="AD2" s="84"/>
      <c r="AE2" s="49"/>
      <c r="AF2" s="49"/>
      <c r="AG2" s="50"/>
      <c r="AH2" s="91">
        <f>U4</f>
        <v>0</v>
      </c>
      <c r="AM2" s="6">
        <f>AM1</f>
        <v>0.94944444444444442</v>
      </c>
      <c r="AN2" s="11">
        <v>0.60416666666666663</v>
      </c>
      <c r="AO2" s="14" t="str">
        <f>IF(AR2&gt;AM2,IF(AM2&lt;AN2,0,AM2-AN2),"2:00:00")</f>
        <v>2:00:00</v>
      </c>
      <c r="AP2" s="15">
        <f>IF(AND(AR2&gt;AM2,AM2&gt;AN2),IF(AQ2&gt;0.0833333333,((AO2*1440)+150),270),0)</f>
        <v>0</v>
      </c>
      <c r="AQ2" s="12">
        <f>AO2*(1440/270)</f>
        <v>0.44444444444444442</v>
      </c>
      <c r="AR2" s="90">
        <v>0.6875</v>
      </c>
      <c r="AS2" s="59"/>
      <c r="AT2" s="49"/>
    </row>
    <row r="3" spans="1:46" s="44" customFormat="1">
      <c r="A3" s="40" t="s">
        <v>0</v>
      </c>
      <c r="B3" s="41" t="s">
        <v>1</v>
      </c>
      <c r="C3" s="41" t="s">
        <v>2</v>
      </c>
      <c r="D3" s="41" t="s">
        <v>3</v>
      </c>
      <c r="E3" s="95" t="s">
        <v>25</v>
      </c>
      <c r="F3" s="96" t="s">
        <v>26</v>
      </c>
      <c r="G3" s="42" t="s">
        <v>4</v>
      </c>
      <c r="H3" s="42" t="s">
        <v>5</v>
      </c>
      <c r="I3" s="42" t="s">
        <v>6</v>
      </c>
      <c r="J3" s="41" t="s">
        <v>7</v>
      </c>
      <c r="K3" s="41" t="s">
        <v>8</v>
      </c>
      <c r="L3" s="42" t="s">
        <v>9</v>
      </c>
      <c r="M3" s="42" t="s">
        <v>10</v>
      </c>
      <c r="N3" s="42" t="s">
        <v>11</v>
      </c>
      <c r="O3" s="42" t="s">
        <v>12</v>
      </c>
      <c r="P3" s="42" t="s">
        <v>13</v>
      </c>
      <c r="Q3" s="42" t="s">
        <v>14</v>
      </c>
      <c r="R3" s="41" t="s">
        <v>15</v>
      </c>
      <c r="S3" s="42" t="s">
        <v>16</v>
      </c>
      <c r="T3" s="42" t="s">
        <v>17</v>
      </c>
      <c r="U3" s="42" t="s">
        <v>18</v>
      </c>
      <c r="V3" s="43" t="s">
        <v>19</v>
      </c>
      <c r="W3" s="40" t="s">
        <v>20</v>
      </c>
      <c r="X3" s="42" t="s">
        <v>21</v>
      </c>
      <c r="Y3" s="95" t="s">
        <v>29</v>
      </c>
      <c r="Z3" s="96" t="s">
        <v>28</v>
      </c>
      <c r="AA3" s="42" t="s">
        <v>30</v>
      </c>
      <c r="AB3" s="42"/>
      <c r="AC3" s="61" t="s">
        <v>27</v>
      </c>
      <c r="AD3" s="61" t="str">
        <f t="shared" ref="AD3:AD34" si="0">A3</f>
        <v>Symbol</v>
      </c>
      <c r="AE3" s="62" t="s">
        <v>22</v>
      </c>
      <c r="AF3" s="62" t="s">
        <v>23</v>
      </c>
      <c r="AG3" s="62" t="s">
        <v>24</v>
      </c>
      <c r="AH3" s="95" t="s">
        <v>31</v>
      </c>
      <c r="AI3" s="97" t="s">
        <v>32</v>
      </c>
      <c r="AJ3" s="95" t="s">
        <v>33</v>
      </c>
      <c r="AK3" s="96" t="s">
        <v>34</v>
      </c>
      <c r="AL3" s="95" t="s">
        <v>35</v>
      </c>
      <c r="AM3" s="97" t="s">
        <v>36</v>
      </c>
    </row>
    <row r="4" spans="1:46">
      <c r="A4" s="23">
        <f>BZ_100!A2</f>
        <v>0</v>
      </c>
      <c r="B4" s="27">
        <f>BZ_100!B2</f>
        <v>0</v>
      </c>
      <c r="C4" s="27">
        <f>BZ_100!C2</f>
        <v>0</v>
      </c>
      <c r="D4" s="27">
        <f>BZ_100!D2</f>
        <v>0</v>
      </c>
      <c r="E4" s="27">
        <f>BZ_100!E2</f>
        <v>0</v>
      </c>
      <c r="F4" s="27">
        <f>BZ_100!F2</f>
        <v>0</v>
      </c>
      <c r="G4" s="24">
        <f>BZ_100!G2</f>
        <v>0</v>
      </c>
      <c r="H4" s="45">
        <f>BZ_100!H2</f>
        <v>0</v>
      </c>
      <c r="I4" s="26">
        <f>BZ_100!I2</f>
        <v>0</v>
      </c>
      <c r="J4" s="27">
        <f>BZ_100!J2</f>
        <v>0</v>
      </c>
      <c r="K4" s="27">
        <f>BZ_100!K2</f>
        <v>0</v>
      </c>
      <c r="L4" s="25">
        <f>BZ_100!L2</f>
        <v>0</v>
      </c>
      <c r="M4" s="25">
        <f>BZ_100!M2</f>
        <v>0</v>
      </c>
      <c r="N4" s="25">
        <f>BZ_100!N2</f>
        <v>0</v>
      </c>
      <c r="O4" s="25">
        <f>BZ_100!O2</f>
        <v>0</v>
      </c>
      <c r="P4" s="25">
        <f>BZ_100!P2</f>
        <v>0</v>
      </c>
      <c r="Q4" s="25">
        <f>BZ_100!Q2</f>
        <v>0</v>
      </c>
      <c r="R4" s="27">
        <f>BZ_100!R2</f>
        <v>0</v>
      </c>
      <c r="S4" s="25">
        <f>BZ_100!S2</f>
        <v>0</v>
      </c>
      <c r="T4" s="25">
        <f>BZ_100!T2</f>
        <v>0</v>
      </c>
      <c r="U4" s="36">
        <f>BZ_100!U2</f>
        <v>0</v>
      </c>
      <c r="V4" s="37">
        <f>BZ_100!V2</f>
        <v>0</v>
      </c>
      <c r="W4" s="64">
        <f t="shared" ref="W4:W35" si="1">A4</f>
        <v>0</v>
      </c>
      <c r="X4" s="65" t="e">
        <f t="shared" ref="X4:X35" si="2">R4/G4</f>
        <v>#DIV/0!</v>
      </c>
      <c r="Y4" s="66" t="e">
        <f>E4/X4</f>
        <v>#DIV/0!</v>
      </c>
      <c r="Z4" s="66" t="e">
        <f>F4/X4</f>
        <v>#DIV/0!</v>
      </c>
      <c r="AA4" s="66" t="e">
        <f>Y4-Z4</f>
        <v>#DIV/0!</v>
      </c>
      <c r="AB4" s="67">
        <v>1</v>
      </c>
      <c r="AC4" s="68">
        <f>AVERAGE(B4:D4)</f>
        <v>0</v>
      </c>
      <c r="AD4" s="85">
        <f t="shared" si="0"/>
        <v>0</v>
      </c>
      <c r="AE4" s="68">
        <f t="shared" ref="AE4:AE35" si="3">B4</f>
        <v>0</v>
      </c>
      <c r="AF4" s="69">
        <f>AE4*$AS$1</f>
        <v>0</v>
      </c>
      <c r="AG4" s="69">
        <f>AE4*($AR$2/270)</f>
        <v>0</v>
      </c>
      <c r="AH4" s="82">
        <f>E4</f>
        <v>0</v>
      </c>
      <c r="AI4" s="93">
        <f>F4</f>
        <v>0</v>
      </c>
      <c r="AJ4" s="92">
        <f>AH4*$AQ$1</f>
        <v>0</v>
      </c>
      <c r="AK4" s="82">
        <f>AI4*$AQ$1</f>
        <v>0</v>
      </c>
      <c r="AL4" s="82">
        <f>AH4*($AP$2/270)</f>
        <v>0</v>
      </c>
      <c r="AM4" s="93">
        <f>AI4*($AP$2/270)</f>
        <v>0</v>
      </c>
      <c r="AN4" s="16"/>
      <c r="AO4" s="16"/>
      <c r="AP4" s="16"/>
      <c r="AQ4" s="16"/>
      <c r="AR4" s="19"/>
    </row>
    <row r="5" spans="1:46">
      <c r="A5" s="23">
        <f>BZ_100!A3</f>
        <v>0</v>
      </c>
      <c r="B5" s="27">
        <f>BZ_100!B3</f>
        <v>0</v>
      </c>
      <c r="C5" s="27">
        <f>BZ_100!C3</f>
        <v>0</v>
      </c>
      <c r="D5" s="27">
        <f>BZ_100!D3</f>
        <v>0</v>
      </c>
      <c r="E5" s="27">
        <f>BZ_100!E3</f>
        <v>0</v>
      </c>
      <c r="F5" s="27">
        <f>BZ_100!F3</f>
        <v>0</v>
      </c>
      <c r="G5" s="24">
        <f>BZ_100!G3</f>
        <v>0</v>
      </c>
      <c r="H5" s="45">
        <f>BZ_100!H3</f>
        <v>0</v>
      </c>
      <c r="I5" s="26">
        <f>BZ_100!I3</f>
        <v>0</v>
      </c>
      <c r="J5" s="27">
        <f>BZ_100!J3</f>
        <v>0</v>
      </c>
      <c r="K5" s="27">
        <f>BZ_100!K3</f>
        <v>0</v>
      </c>
      <c r="L5" s="25">
        <f>BZ_100!L3</f>
        <v>0</v>
      </c>
      <c r="M5" s="25">
        <f>BZ_100!M3</f>
        <v>0</v>
      </c>
      <c r="N5" s="25">
        <f>BZ_100!N3</f>
        <v>0</v>
      </c>
      <c r="O5" s="25">
        <f>BZ_100!O3</f>
        <v>0</v>
      </c>
      <c r="P5" s="25">
        <f>BZ_100!P3</f>
        <v>0</v>
      </c>
      <c r="Q5" s="25">
        <f>BZ_100!Q3</f>
        <v>0</v>
      </c>
      <c r="R5" s="27">
        <f>BZ_100!R3</f>
        <v>0</v>
      </c>
      <c r="S5" s="25">
        <f>BZ_100!S3</f>
        <v>0</v>
      </c>
      <c r="T5" s="25">
        <f>BZ_100!T3</f>
        <v>0</v>
      </c>
      <c r="U5" s="36">
        <f>BZ_100!U3</f>
        <v>0</v>
      </c>
      <c r="V5" s="37">
        <f>BZ_100!V3</f>
        <v>0</v>
      </c>
      <c r="W5" s="70">
        <f t="shared" si="1"/>
        <v>0</v>
      </c>
      <c r="X5" s="71" t="e">
        <f t="shared" si="2"/>
        <v>#DIV/0!</v>
      </c>
      <c r="Y5" s="72" t="e">
        <f t="shared" ref="Y5:Y68" si="4">E5/X5</f>
        <v>#DIV/0!</v>
      </c>
      <c r="Z5" s="72" t="e">
        <f t="shared" ref="Z5:Z68" si="5">F5/X5</f>
        <v>#DIV/0!</v>
      </c>
      <c r="AA5" s="72" t="e">
        <f t="shared" ref="AA5:AA68" si="6">Y5-Z5</f>
        <v>#DIV/0!</v>
      </c>
      <c r="AB5" s="73">
        <v>2</v>
      </c>
      <c r="AC5" s="74">
        <f t="shared" ref="AC5:AC68" si="7">AVERAGE(B5:D5)</f>
        <v>0</v>
      </c>
      <c r="AD5" s="86">
        <f t="shared" si="0"/>
        <v>0</v>
      </c>
      <c r="AE5" s="74">
        <f t="shared" si="3"/>
        <v>0</v>
      </c>
      <c r="AF5" s="75">
        <f t="shared" ref="AF5:AF68" si="8">AE5*$AS$1</f>
        <v>0</v>
      </c>
      <c r="AG5" s="75">
        <f t="shared" ref="AG5:AG68" si="9">AE5*($AR$2/270)</f>
        <v>0</v>
      </c>
      <c r="AH5" s="82">
        <f>E5</f>
        <v>0</v>
      </c>
      <c r="AI5" s="93">
        <f t="shared" ref="AI5:AI68" si="10">F5</f>
        <v>0</v>
      </c>
      <c r="AJ5" s="92">
        <f t="shared" ref="AJ5:AJ68" si="11">AH5*$AQ$1</f>
        <v>0</v>
      </c>
      <c r="AK5" s="82">
        <f t="shared" ref="AK5:AK68" si="12">AI5*$AQ$1</f>
        <v>0</v>
      </c>
      <c r="AL5" s="82">
        <f t="shared" ref="AL5:AL68" si="13">AH5*($AP$2/270)</f>
        <v>0</v>
      </c>
      <c r="AM5" s="93">
        <f t="shared" ref="AM5:AM68" si="14">AI5*($AP$2/270)</f>
        <v>0</v>
      </c>
      <c r="AN5" s="16"/>
      <c r="AO5" s="20"/>
      <c r="AP5" s="18"/>
      <c r="AQ5" s="19"/>
      <c r="AR5" s="19"/>
    </row>
    <row r="6" spans="1:46">
      <c r="A6" s="23">
        <f>BZ_100!A4</f>
        <v>0</v>
      </c>
      <c r="B6" s="27">
        <f>BZ_100!B4</f>
        <v>0</v>
      </c>
      <c r="C6" s="27">
        <f>BZ_100!C4</f>
        <v>0</v>
      </c>
      <c r="D6" s="27">
        <f>BZ_100!D4</f>
        <v>0</v>
      </c>
      <c r="E6" s="27">
        <f>BZ_100!E4</f>
        <v>0</v>
      </c>
      <c r="F6" s="27">
        <f>BZ_100!F4</f>
        <v>0</v>
      </c>
      <c r="G6" s="24">
        <f>BZ_100!G4</f>
        <v>0</v>
      </c>
      <c r="H6" s="45">
        <f>BZ_100!H4</f>
        <v>0</v>
      </c>
      <c r="I6" s="26">
        <f>BZ_100!I4</f>
        <v>0</v>
      </c>
      <c r="J6" s="27">
        <f>BZ_100!J4</f>
        <v>0</v>
      </c>
      <c r="K6" s="27">
        <f>BZ_100!K4</f>
        <v>0</v>
      </c>
      <c r="L6" s="25">
        <f>BZ_100!L4</f>
        <v>0</v>
      </c>
      <c r="M6" s="25">
        <f>BZ_100!M4</f>
        <v>0</v>
      </c>
      <c r="N6" s="25">
        <f>BZ_100!N4</f>
        <v>0</v>
      </c>
      <c r="O6" s="25">
        <f>BZ_100!O4</f>
        <v>0</v>
      </c>
      <c r="P6" s="25">
        <f>BZ_100!P4</f>
        <v>0</v>
      </c>
      <c r="Q6" s="25">
        <f>BZ_100!Q4</f>
        <v>0</v>
      </c>
      <c r="R6" s="27">
        <f>BZ_100!R4</f>
        <v>0</v>
      </c>
      <c r="S6" s="25">
        <f>BZ_100!S4</f>
        <v>0</v>
      </c>
      <c r="T6" s="25">
        <f>BZ_100!T4</f>
        <v>0</v>
      </c>
      <c r="U6" s="36">
        <f>BZ_100!U4</f>
        <v>0</v>
      </c>
      <c r="V6" s="37">
        <f>BZ_100!V4</f>
        <v>0</v>
      </c>
      <c r="W6" s="70">
        <f t="shared" si="1"/>
        <v>0</v>
      </c>
      <c r="X6" s="71" t="e">
        <f t="shared" si="2"/>
        <v>#DIV/0!</v>
      </c>
      <c r="Y6" s="72" t="e">
        <f t="shared" si="4"/>
        <v>#DIV/0!</v>
      </c>
      <c r="Z6" s="72" t="e">
        <f t="shared" si="5"/>
        <v>#DIV/0!</v>
      </c>
      <c r="AA6" s="72" t="e">
        <f t="shared" si="6"/>
        <v>#DIV/0!</v>
      </c>
      <c r="AB6" s="73">
        <v>3</v>
      </c>
      <c r="AC6" s="74">
        <f t="shared" si="7"/>
        <v>0</v>
      </c>
      <c r="AD6" s="86">
        <f t="shared" si="0"/>
        <v>0</v>
      </c>
      <c r="AE6" s="74">
        <f t="shared" si="3"/>
        <v>0</v>
      </c>
      <c r="AF6" s="75">
        <f t="shared" si="8"/>
        <v>0</v>
      </c>
      <c r="AG6" s="75">
        <f t="shared" si="9"/>
        <v>0</v>
      </c>
      <c r="AH6" s="82">
        <f t="shared" ref="AH6:AH69" si="15">E6</f>
        <v>0</v>
      </c>
      <c r="AI6" s="93">
        <f t="shared" si="10"/>
        <v>0</v>
      </c>
      <c r="AJ6" s="92">
        <f t="shared" si="11"/>
        <v>0</v>
      </c>
      <c r="AK6" s="82">
        <f t="shared" si="12"/>
        <v>0</v>
      </c>
      <c r="AL6" s="82">
        <f t="shared" si="13"/>
        <v>0</v>
      </c>
      <c r="AM6" s="93">
        <f t="shared" si="14"/>
        <v>0</v>
      </c>
      <c r="AN6" s="16"/>
      <c r="AO6" s="33"/>
      <c r="AP6" s="18"/>
      <c r="AQ6" s="19"/>
      <c r="AR6" s="19"/>
    </row>
    <row r="7" spans="1:46">
      <c r="A7" s="23">
        <f>BZ_100!A5</f>
        <v>0</v>
      </c>
      <c r="B7" s="27">
        <f>BZ_100!B5</f>
        <v>0</v>
      </c>
      <c r="C7" s="27">
        <f>BZ_100!C5</f>
        <v>0</v>
      </c>
      <c r="D7" s="27">
        <f>BZ_100!D5</f>
        <v>0</v>
      </c>
      <c r="E7" s="27">
        <f>BZ_100!E5</f>
        <v>0</v>
      </c>
      <c r="F7" s="27">
        <f>BZ_100!F5</f>
        <v>0</v>
      </c>
      <c r="G7" s="24">
        <f>BZ_100!G5</f>
        <v>0</v>
      </c>
      <c r="H7" s="45">
        <f>BZ_100!H5</f>
        <v>0</v>
      </c>
      <c r="I7" s="26">
        <f>BZ_100!I5</f>
        <v>0</v>
      </c>
      <c r="J7" s="27">
        <f>BZ_100!J5</f>
        <v>0</v>
      </c>
      <c r="K7" s="27">
        <f>BZ_100!K5</f>
        <v>0</v>
      </c>
      <c r="L7" s="25">
        <f>BZ_100!L5</f>
        <v>0</v>
      </c>
      <c r="M7" s="25">
        <f>BZ_100!M5</f>
        <v>0</v>
      </c>
      <c r="N7" s="25">
        <f>BZ_100!N5</f>
        <v>0</v>
      </c>
      <c r="O7" s="25">
        <f>BZ_100!O5</f>
        <v>0</v>
      </c>
      <c r="P7" s="25">
        <f>BZ_100!P5</f>
        <v>0</v>
      </c>
      <c r="Q7" s="25">
        <f>BZ_100!Q5</f>
        <v>0</v>
      </c>
      <c r="R7" s="27">
        <f>BZ_100!R5</f>
        <v>0</v>
      </c>
      <c r="S7" s="25">
        <f>BZ_100!S5</f>
        <v>0</v>
      </c>
      <c r="T7" s="25">
        <f>BZ_100!T5</f>
        <v>0</v>
      </c>
      <c r="U7" s="36">
        <f>BZ_100!U5</f>
        <v>0</v>
      </c>
      <c r="V7" s="37">
        <f>BZ_100!V5</f>
        <v>0</v>
      </c>
      <c r="W7" s="70">
        <f t="shared" si="1"/>
        <v>0</v>
      </c>
      <c r="X7" s="71" t="e">
        <f t="shared" si="2"/>
        <v>#DIV/0!</v>
      </c>
      <c r="Y7" s="72" t="e">
        <f t="shared" si="4"/>
        <v>#DIV/0!</v>
      </c>
      <c r="Z7" s="72" t="e">
        <f t="shared" si="5"/>
        <v>#DIV/0!</v>
      </c>
      <c r="AA7" s="72" t="e">
        <f t="shared" si="6"/>
        <v>#DIV/0!</v>
      </c>
      <c r="AB7" s="73">
        <v>4</v>
      </c>
      <c r="AC7" s="74">
        <f t="shared" si="7"/>
        <v>0</v>
      </c>
      <c r="AD7" s="86">
        <f t="shared" si="0"/>
        <v>0</v>
      </c>
      <c r="AE7" s="74">
        <f t="shared" si="3"/>
        <v>0</v>
      </c>
      <c r="AF7" s="75">
        <f t="shared" si="8"/>
        <v>0</v>
      </c>
      <c r="AG7" s="75">
        <f t="shared" si="9"/>
        <v>0</v>
      </c>
      <c r="AH7" s="82">
        <f t="shared" si="15"/>
        <v>0</v>
      </c>
      <c r="AI7" s="93">
        <f t="shared" si="10"/>
        <v>0</v>
      </c>
      <c r="AJ7" s="92">
        <f t="shared" si="11"/>
        <v>0</v>
      </c>
      <c r="AK7" s="82">
        <f t="shared" si="12"/>
        <v>0</v>
      </c>
      <c r="AL7" s="82">
        <f t="shared" si="13"/>
        <v>0</v>
      </c>
      <c r="AM7" s="93">
        <f t="shared" si="14"/>
        <v>0</v>
      </c>
      <c r="AN7" s="16"/>
      <c r="AO7" s="17"/>
      <c r="AP7" s="18"/>
      <c r="AQ7" s="19"/>
      <c r="AR7" s="19"/>
    </row>
    <row r="8" spans="1:46">
      <c r="A8" s="23">
        <f>BZ_100!A6</f>
        <v>0</v>
      </c>
      <c r="B8" s="27">
        <f>BZ_100!B6</f>
        <v>0</v>
      </c>
      <c r="C8" s="27">
        <f>BZ_100!C6</f>
        <v>0</v>
      </c>
      <c r="D8" s="27">
        <f>BZ_100!D6</f>
        <v>0</v>
      </c>
      <c r="E8" s="27">
        <f>BZ_100!E6</f>
        <v>0</v>
      </c>
      <c r="F8" s="27">
        <f>BZ_100!F6</f>
        <v>0</v>
      </c>
      <c r="G8" s="24">
        <f>BZ_100!G6</f>
        <v>0</v>
      </c>
      <c r="H8" s="45">
        <f>BZ_100!H6</f>
        <v>0</v>
      </c>
      <c r="I8" s="26">
        <f>BZ_100!I6</f>
        <v>0</v>
      </c>
      <c r="J8" s="27">
        <f>BZ_100!J6</f>
        <v>0</v>
      </c>
      <c r="K8" s="27">
        <f>BZ_100!K6</f>
        <v>0</v>
      </c>
      <c r="L8" s="25">
        <f>BZ_100!L6</f>
        <v>0</v>
      </c>
      <c r="M8" s="25">
        <f>BZ_100!M6</f>
        <v>0</v>
      </c>
      <c r="N8" s="25">
        <f>BZ_100!N6</f>
        <v>0</v>
      </c>
      <c r="O8" s="25">
        <f>BZ_100!O6</f>
        <v>0</v>
      </c>
      <c r="P8" s="25">
        <f>BZ_100!P6</f>
        <v>0</v>
      </c>
      <c r="Q8" s="25">
        <f>BZ_100!Q6</f>
        <v>0</v>
      </c>
      <c r="R8" s="27">
        <f>BZ_100!R6</f>
        <v>0</v>
      </c>
      <c r="S8" s="25">
        <f>BZ_100!S6</f>
        <v>0</v>
      </c>
      <c r="T8" s="25">
        <f>BZ_100!T6</f>
        <v>0</v>
      </c>
      <c r="U8" s="36">
        <f>BZ_100!U6</f>
        <v>0</v>
      </c>
      <c r="V8" s="37">
        <f>BZ_100!V6</f>
        <v>0</v>
      </c>
      <c r="W8" s="70">
        <f t="shared" si="1"/>
        <v>0</v>
      </c>
      <c r="X8" s="71" t="e">
        <f t="shared" si="2"/>
        <v>#DIV/0!</v>
      </c>
      <c r="Y8" s="72" t="e">
        <f t="shared" si="4"/>
        <v>#DIV/0!</v>
      </c>
      <c r="Z8" s="72" t="e">
        <f t="shared" si="5"/>
        <v>#DIV/0!</v>
      </c>
      <c r="AA8" s="72" t="e">
        <f t="shared" si="6"/>
        <v>#DIV/0!</v>
      </c>
      <c r="AB8" s="73">
        <v>5</v>
      </c>
      <c r="AC8" s="74">
        <f t="shared" si="7"/>
        <v>0</v>
      </c>
      <c r="AD8" s="86">
        <f t="shared" si="0"/>
        <v>0</v>
      </c>
      <c r="AE8" s="74">
        <f t="shared" si="3"/>
        <v>0</v>
      </c>
      <c r="AF8" s="75">
        <f t="shared" si="8"/>
        <v>0</v>
      </c>
      <c r="AG8" s="75">
        <f t="shared" si="9"/>
        <v>0</v>
      </c>
      <c r="AH8" s="82">
        <f t="shared" si="15"/>
        <v>0</v>
      </c>
      <c r="AI8" s="93">
        <f t="shared" si="10"/>
        <v>0</v>
      </c>
      <c r="AJ8" s="92">
        <f t="shared" si="11"/>
        <v>0</v>
      </c>
      <c r="AK8" s="82">
        <f t="shared" si="12"/>
        <v>0</v>
      </c>
      <c r="AL8" s="82">
        <f t="shared" si="13"/>
        <v>0</v>
      </c>
      <c r="AM8" s="93">
        <f t="shared" si="14"/>
        <v>0</v>
      </c>
      <c r="AN8" s="16"/>
      <c r="AO8" s="21"/>
      <c r="AP8" s="18"/>
      <c r="AQ8" s="19"/>
      <c r="AR8" s="19"/>
    </row>
    <row r="9" spans="1:46">
      <c r="A9" s="23">
        <f>BZ_100!A7</f>
        <v>0</v>
      </c>
      <c r="B9" s="27">
        <f>BZ_100!B7</f>
        <v>0</v>
      </c>
      <c r="C9" s="27">
        <f>BZ_100!C7</f>
        <v>0</v>
      </c>
      <c r="D9" s="27">
        <f>BZ_100!D7</f>
        <v>0</v>
      </c>
      <c r="E9" s="27">
        <f>BZ_100!E7</f>
        <v>0</v>
      </c>
      <c r="F9" s="27">
        <f>BZ_100!F7</f>
        <v>0</v>
      </c>
      <c r="G9" s="24">
        <f>BZ_100!G7</f>
        <v>0</v>
      </c>
      <c r="H9" s="45">
        <f>BZ_100!H7</f>
        <v>0</v>
      </c>
      <c r="I9" s="26">
        <f>BZ_100!I7</f>
        <v>0</v>
      </c>
      <c r="J9" s="27">
        <f>BZ_100!J7</f>
        <v>0</v>
      </c>
      <c r="K9" s="27">
        <f>BZ_100!K7</f>
        <v>0</v>
      </c>
      <c r="L9" s="25">
        <f>BZ_100!L7</f>
        <v>0</v>
      </c>
      <c r="M9" s="25">
        <f>BZ_100!M7</f>
        <v>0</v>
      </c>
      <c r="N9" s="25">
        <f>BZ_100!N7</f>
        <v>0</v>
      </c>
      <c r="O9" s="25">
        <f>BZ_100!O7</f>
        <v>0</v>
      </c>
      <c r="P9" s="25">
        <f>BZ_100!P7</f>
        <v>0</v>
      </c>
      <c r="Q9" s="25">
        <f>BZ_100!Q7</f>
        <v>0</v>
      </c>
      <c r="R9" s="27">
        <f>BZ_100!R7</f>
        <v>0</v>
      </c>
      <c r="S9" s="25">
        <f>BZ_100!S7</f>
        <v>0</v>
      </c>
      <c r="T9" s="25">
        <f>BZ_100!T7</f>
        <v>0</v>
      </c>
      <c r="U9" s="36">
        <f>BZ_100!U7</f>
        <v>0</v>
      </c>
      <c r="V9" s="37">
        <f>BZ_100!V7</f>
        <v>0</v>
      </c>
      <c r="W9" s="70">
        <f t="shared" si="1"/>
        <v>0</v>
      </c>
      <c r="X9" s="71" t="e">
        <f t="shared" si="2"/>
        <v>#DIV/0!</v>
      </c>
      <c r="Y9" s="72" t="e">
        <f t="shared" si="4"/>
        <v>#DIV/0!</v>
      </c>
      <c r="Z9" s="72" t="e">
        <f t="shared" si="5"/>
        <v>#DIV/0!</v>
      </c>
      <c r="AA9" s="72" t="e">
        <f t="shared" si="6"/>
        <v>#DIV/0!</v>
      </c>
      <c r="AB9" s="73">
        <v>6</v>
      </c>
      <c r="AC9" s="74">
        <f t="shared" si="7"/>
        <v>0</v>
      </c>
      <c r="AD9" s="86">
        <f t="shared" si="0"/>
        <v>0</v>
      </c>
      <c r="AE9" s="74">
        <f t="shared" si="3"/>
        <v>0</v>
      </c>
      <c r="AF9" s="75">
        <f t="shared" si="8"/>
        <v>0</v>
      </c>
      <c r="AG9" s="75">
        <f t="shared" si="9"/>
        <v>0</v>
      </c>
      <c r="AH9" s="82">
        <f t="shared" si="15"/>
        <v>0</v>
      </c>
      <c r="AI9" s="93">
        <f t="shared" si="10"/>
        <v>0</v>
      </c>
      <c r="AJ9" s="92">
        <f t="shared" si="11"/>
        <v>0</v>
      </c>
      <c r="AK9" s="82">
        <f t="shared" si="12"/>
        <v>0</v>
      </c>
      <c r="AL9" s="82">
        <f t="shared" si="13"/>
        <v>0</v>
      </c>
      <c r="AM9" s="93">
        <f t="shared" si="14"/>
        <v>0</v>
      </c>
      <c r="AN9" s="16"/>
      <c r="AO9" s="22"/>
      <c r="AP9" s="18"/>
      <c r="AQ9" s="19"/>
      <c r="AR9" s="19"/>
    </row>
    <row r="10" spans="1:46">
      <c r="A10" s="23">
        <f>BZ_100!A8</f>
        <v>0</v>
      </c>
      <c r="B10" s="27">
        <f>BZ_100!B8</f>
        <v>0</v>
      </c>
      <c r="C10" s="27">
        <f>BZ_100!C8</f>
        <v>0</v>
      </c>
      <c r="D10" s="27">
        <f>BZ_100!D8</f>
        <v>0</v>
      </c>
      <c r="E10" s="27">
        <f>BZ_100!E8</f>
        <v>0</v>
      </c>
      <c r="F10" s="27">
        <f>BZ_100!F8</f>
        <v>0</v>
      </c>
      <c r="G10" s="24">
        <f>BZ_100!G8</f>
        <v>0</v>
      </c>
      <c r="H10" s="45">
        <f>BZ_100!H8</f>
        <v>0</v>
      </c>
      <c r="I10" s="26">
        <f>BZ_100!I8</f>
        <v>0</v>
      </c>
      <c r="J10" s="27">
        <f>BZ_100!J8</f>
        <v>0</v>
      </c>
      <c r="K10" s="27">
        <f>BZ_100!K8</f>
        <v>0</v>
      </c>
      <c r="L10" s="25">
        <f>BZ_100!L8</f>
        <v>0</v>
      </c>
      <c r="M10" s="25">
        <f>BZ_100!M8</f>
        <v>0</v>
      </c>
      <c r="N10" s="25">
        <f>BZ_100!N8</f>
        <v>0</v>
      </c>
      <c r="O10" s="25">
        <f>BZ_100!O8</f>
        <v>0</v>
      </c>
      <c r="P10" s="25">
        <f>BZ_100!P8</f>
        <v>0</v>
      </c>
      <c r="Q10" s="25">
        <f>BZ_100!Q8</f>
        <v>0</v>
      </c>
      <c r="R10" s="27">
        <f>BZ_100!R8</f>
        <v>0</v>
      </c>
      <c r="S10" s="25">
        <f>BZ_100!S8</f>
        <v>0</v>
      </c>
      <c r="T10" s="25">
        <f>BZ_100!T8</f>
        <v>0</v>
      </c>
      <c r="U10" s="36">
        <f>BZ_100!U8</f>
        <v>0</v>
      </c>
      <c r="V10" s="37">
        <f>BZ_100!V8</f>
        <v>0</v>
      </c>
      <c r="W10" s="70">
        <f t="shared" si="1"/>
        <v>0</v>
      </c>
      <c r="X10" s="71" t="e">
        <f t="shared" si="2"/>
        <v>#DIV/0!</v>
      </c>
      <c r="Y10" s="72" t="e">
        <f t="shared" si="4"/>
        <v>#DIV/0!</v>
      </c>
      <c r="Z10" s="72" t="e">
        <f t="shared" si="5"/>
        <v>#DIV/0!</v>
      </c>
      <c r="AA10" s="72" t="e">
        <f t="shared" si="6"/>
        <v>#DIV/0!</v>
      </c>
      <c r="AB10" s="73">
        <v>7</v>
      </c>
      <c r="AC10" s="74">
        <f t="shared" si="7"/>
        <v>0</v>
      </c>
      <c r="AD10" s="86">
        <f t="shared" si="0"/>
        <v>0</v>
      </c>
      <c r="AE10" s="74">
        <f t="shared" si="3"/>
        <v>0</v>
      </c>
      <c r="AF10" s="75">
        <f t="shared" si="8"/>
        <v>0</v>
      </c>
      <c r="AG10" s="75">
        <f t="shared" si="9"/>
        <v>0</v>
      </c>
      <c r="AH10" s="82">
        <f t="shared" si="15"/>
        <v>0</v>
      </c>
      <c r="AI10" s="93">
        <f t="shared" si="10"/>
        <v>0</v>
      </c>
      <c r="AJ10" s="92">
        <f t="shared" si="11"/>
        <v>0</v>
      </c>
      <c r="AK10" s="82">
        <f t="shared" si="12"/>
        <v>0</v>
      </c>
      <c r="AL10" s="82">
        <f t="shared" si="13"/>
        <v>0</v>
      </c>
      <c r="AM10" s="93">
        <f t="shared" si="14"/>
        <v>0</v>
      </c>
      <c r="AN10" s="16"/>
    </row>
    <row r="11" spans="1:46">
      <c r="A11" s="23">
        <f>BZ_100!A9</f>
        <v>0</v>
      </c>
      <c r="B11" s="27">
        <f>BZ_100!B9</f>
        <v>0</v>
      </c>
      <c r="C11" s="27">
        <f>BZ_100!C9</f>
        <v>0</v>
      </c>
      <c r="D11" s="27">
        <f>BZ_100!D9</f>
        <v>0</v>
      </c>
      <c r="E11" s="27">
        <f>BZ_100!E9</f>
        <v>0</v>
      </c>
      <c r="F11" s="27">
        <f>BZ_100!F9</f>
        <v>0</v>
      </c>
      <c r="G11" s="24">
        <f>BZ_100!G9</f>
        <v>0</v>
      </c>
      <c r="H11" s="45">
        <f>BZ_100!H9</f>
        <v>0</v>
      </c>
      <c r="I11" s="26">
        <f>BZ_100!I9</f>
        <v>0</v>
      </c>
      <c r="J11" s="27">
        <f>BZ_100!J9</f>
        <v>0</v>
      </c>
      <c r="K11" s="27">
        <f>BZ_100!K9</f>
        <v>0</v>
      </c>
      <c r="L11" s="25">
        <f>BZ_100!L9</f>
        <v>0</v>
      </c>
      <c r="M11" s="25">
        <f>BZ_100!M9</f>
        <v>0</v>
      </c>
      <c r="N11" s="25">
        <f>BZ_100!N9</f>
        <v>0</v>
      </c>
      <c r="O11" s="25">
        <f>BZ_100!O9</f>
        <v>0</v>
      </c>
      <c r="P11" s="25">
        <f>BZ_100!P9</f>
        <v>0</v>
      </c>
      <c r="Q11" s="25">
        <f>BZ_100!Q9</f>
        <v>0</v>
      </c>
      <c r="R11" s="27">
        <f>BZ_100!R9</f>
        <v>0</v>
      </c>
      <c r="S11" s="25">
        <f>BZ_100!S9</f>
        <v>0</v>
      </c>
      <c r="T11" s="25">
        <f>BZ_100!T9</f>
        <v>0</v>
      </c>
      <c r="U11" s="36">
        <f>BZ_100!U9</f>
        <v>0</v>
      </c>
      <c r="V11" s="37">
        <f>BZ_100!V9</f>
        <v>0</v>
      </c>
      <c r="W11" s="70">
        <f t="shared" si="1"/>
        <v>0</v>
      </c>
      <c r="X11" s="71" t="e">
        <f t="shared" si="2"/>
        <v>#DIV/0!</v>
      </c>
      <c r="Y11" s="72" t="e">
        <f t="shared" si="4"/>
        <v>#DIV/0!</v>
      </c>
      <c r="Z11" s="72" t="e">
        <f t="shared" si="5"/>
        <v>#DIV/0!</v>
      </c>
      <c r="AA11" s="72" t="e">
        <f t="shared" si="6"/>
        <v>#DIV/0!</v>
      </c>
      <c r="AB11" s="73">
        <v>8</v>
      </c>
      <c r="AC11" s="74">
        <f t="shared" si="7"/>
        <v>0</v>
      </c>
      <c r="AD11" s="86">
        <f t="shared" si="0"/>
        <v>0</v>
      </c>
      <c r="AE11" s="74">
        <f t="shared" si="3"/>
        <v>0</v>
      </c>
      <c r="AF11" s="75">
        <f t="shared" si="8"/>
        <v>0</v>
      </c>
      <c r="AG11" s="75">
        <f t="shared" si="9"/>
        <v>0</v>
      </c>
      <c r="AH11" s="82">
        <f t="shared" si="15"/>
        <v>0</v>
      </c>
      <c r="AI11" s="93">
        <f t="shared" si="10"/>
        <v>0</v>
      </c>
      <c r="AJ11" s="92">
        <f t="shared" si="11"/>
        <v>0</v>
      </c>
      <c r="AK11" s="82">
        <f t="shared" si="12"/>
        <v>0</v>
      </c>
      <c r="AL11" s="82">
        <f t="shared" si="13"/>
        <v>0</v>
      </c>
      <c r="AM11" s="93">
        <f t="shared" si="14"/>
        <v>0</v>
      </c>
      <c r="AN11" s="16"/>
    </row>
    <row r="12" spans="1:46">
      <c r="A12" s="23">
        <f>BZ_100!A10</f>
        <v>0</v>
      </c>
      <c r="B12" s="27">
        <f>BZ_100!B10</f>
        <v>0</v>
      </c>
      <c r="C12" s="27">
        <f>BZ_100!C10</f>
        <v>0</v>
      </c>
      <c r="D12" s="27">
        <f>BZ_100!D10</f>
        <v>0</v>
      </c>
      <c r="E12" s="27">
        <f>BZ_100!E10</f>
        <v>0</v>
      </c>
      <c r="F12" s="27">
        <f>BZ_100!F10</f>
        <v>0</v>
      </c>
      <c r="G12" s="24">
        <f>BZ_100!G10</f>
        <v>0</v>
      </c>
      <c r="H12" s="45">
        <f>BZ_100!H10</f>
        <v>0</v>
      </c>
      <c r="I12" s="26">
        <f>BZ_100!I10</f>
        <v>0</v>
      </c>
      <c r="J12" s="27">
        <f>BZ_100!J10</f>
        <v>0</v>
      </c>
      <c r="K12" s="27">
        <f>BZ_100!K10</f>
        <v>0</v>
      </c>
      <c r="L12" s="25">
        <f>BZ_100!L10</f>
        <v>0</v>
      </c>
      <c r="M12" s="25">
        <f>BZ_100!M10</f>
        <v>0</v>
      </c>
      <c r="N12" s="25">
        <f>BZ_100!N10</f>
        <v>0</v>
      </c>
      <c r="O12" s="25">
        <f>BZ_100!O10</f>
        <v>0</v>
      </c>
      <c r="P12" s="25">
        <f>BZ_100!P10</f>
        <v>0</v>
      </c>
      <c r="Q12" s="25">
        <f>BZ_100!Q10</f>
        <v>0</v>
      </c>
      <c r="R12" s="27">
        <f>BZ_100!R10</f>
        <v>0</v>
      </c>
      <c r="S12" s="25">
        <f>BZ_100!S10</f>
        <v>0</v>
      </c>
      <c r="T12" s="25">
        <f>BZ_100!T10</f>
        <v>0</v>
      </c>
      <c r="U12" s="36">
        <f>BZ_100!U10</f>
        <v>0</v>
      </c>
      <c r="V12" s="37">
        <f>BZ_100!V10</f>
        <v>0</v>
      </c>
      <c r="W12" s="70">
        <f t="shared" si="1"/>
        <v>0</v>
      </c>
      <c r="X12" s="71" t="e">
        <f t="shared" si="2"/>
        <v>#DIV/0!</v>
      </c>
      <c r="Y12" s="72" t="e">
        <f t="shared" si="4"/>
        <v>#DIV/0!</v>
      </c>
      <c r="Z12" s="72" t="e">
        <f t="shared" si="5"/>
        <v>#DIV/0!</v>
      </c>
      <c r="AA12" s="72" t="e">
        <f t="shared" si="6"/>
        <v>#DIV/0!</v>
      </c>
      <c r="AB12" s="73">
        <v>9</v>
      </c>
      <c r="AC12" s="74">
        <f t="shared" si="7"/>
        <v>0</v>
      </c>
      <c r="AD12" s="86">
        <f t="shared" si="0"/>
        <v>0</v>
      </c>
      <c r="AE12" s="74">
        <f t="shared" si="3"/>
        <v>0</v>
      </c>
      <c r="AF12" s="75">
        <f t="shared" si="8"/>
        <v>0</v>
      </c>
      <c r="AG12" s="75">
        <f t="shared" si="9"/>
        <v>0</v>
      </c>
      <c r="AH12" s="82">
        <f t="shared" si="15"/>
        <v>0</v>
      </c>
      <c r="AI12" s="93">
        <f t="shared" si="10"/>
        <v>0</v>
      </c>
      <c r="AJ12" s="92">
        <f t="shared" si="11"/>
        <v>0</v>
      </c>
      <c r="AK12" s="82">
        <f t="shared" si="12"/>
        <v>0</v>
      </c>
      <c r="AL12" s="82">
        <f t="shared" si="13"/>
        <v>0</v>
      </c>
      <c r="AM12" s="93">
        <f t="shared" si="14"/>
        <v>0</v>
      </c>
      <c r="AN12" s="16"/>
      <c r="AO12" s="101"/>
      <c r="AP12" s="101"/>
    </row>
    <row r="13" spans="1:46">
      <c r="A13" s="23">
        <f>BZ_100!A11</f>
        <v>0</v>
      </c>
      <c r="B13" s="27">
        <f>BZ_100!B11</f>
        <v>0</v>
      </c>
      <c r="C13" s="27">
        <f>BZ_100!C11</f>
        <v>0</v>
      </c>
      <c r="D13" s="27">
        <f>BZ_100!D11</f>
        <v>0</v>
      </c>
      <c r="E13" s="27">
        <f>BZ_100!E11</f>
        <v>0</v>
      </c>
      <c r="F13" s="27">
        <f>BZ_100!F11</f>
        <v>0</v>
      </c>
      <c r="G13" s="24">
        <f>BZ_100!G11</f>
        <v>0</v>
      </c>
      <c r="H13" s="45">
        <f>BZ_100!H11</f>
        <v>0</v>
      </c>
      <c r="I13" s="26">
        <f>BZ_100!I11</f>
        <v>0</v>
      </c>
      <c r="J13" s="27">
        <f>BZ_100!J11</f>
        <v>0</v>
      </c>
      <c r="K13" s="27">
        <f>BZ_100!K11</f>
        <v>0</v>
      </c>
      <c r="L13" s="25">
        <f>BZ_100!L11</f>
        <v>0</v>
      </c>
      <c r="M13" s="25">
        <f>BZ_100!M11</f>
        <v>0</v>
      </c>
      <c r="N13" s="25">
        <f>BZ_100!N11</f>
        <v>0</v>
      </c>
      <c r="O13" s="25">
        <f>BZ_100!O11</f>
        <v>0</v>
      </c>
      <c r="P13" s="25">
        <f>BZ_100!P11</f>
        <v>0</v>
      </c>
      <c r="Q13" s="25">
        <f>BZ_100!Q11</f>
        <v>0</v>
      </c>
      <c r="R13" s="27">
        <f>BZ_100!R11</f>
        <v>0</v>
      </c>
      <c r="S13" s="25">
        <f>BZ_100!S11</f>
        <v>0</v>
      </c>
      <c r="T13" s="25">
        <f>BZ_100!T11</f>
        <v>0</v>
      </c>
      <c r="U13" s="36">
        <f>BZ_100!U11</f>
        <v>0</v>
      </c>
      <c r="V13" s="37">
        <f>BZ_100!V11</f>
        <v>0</v>
      </c>
      <c r="W13" s="70">
        <f t="shared" si="1"/>
        <v>0</v>
      </c>
      <c r="X13" s="71" t="e">
        <f t="shared" si="2"/>
        <v>#DIV/0!</v>
      </c>
      <c r="Y13" s="72" t="e">
        <f t="shared" si="4"/>
        <v>#DIV/0!</v>
      </c>
      <c r="Z13" s="72" t="e">
        <f t="shared" si="5"/>
        <v>#DIV/0!</v>
      </c>
      <c r="AA13" s="72" t="e">
        <f t="shared" si="6"/>
        <v>#DIV/0!</v>
      </c>
      <c r="AB13" s="73">
        <v>10</v>
      </c>
      <c r="AC13" s="74">
        <f t="shared" si="7"/>
        <v>0</v>
      </c>
      <c r="AD13" s="86">
        <f t="shared" si="0"/>
        <v>0</v>
      </c>
      <c r="AE13" s="74">
        <f t="shared" si="3"/>
        <v>0</v>
      </c>
      <c r="AF13" s="75">
        <f t="shared" si="8"/>
        <v>0</v>
      </c>
      <c r="AG13" s="75">
        <f t="shared" si="9"/>
        <v>0</v>
      </c>
      <c r="AH13" s="82">
        <f t="shared" si="15"/>
        <v>0</v>
      </c>
      <c r="AI13" s="93">
        <f t="shared" si="10"/>
        <v>0</v>
      </c>
      <c r="AJ13" s="92">
        <f t="shared" si="11"/>
        <v>0</v>
      </c>
      <c r="AK13" s="82">
        <f t="shared" si="12"/>
        <v>0</v>
      </c>
      <c r="AL13" s="82">
        <f t="shared" si="13"/>
        <v>0</v>
      </c>
      <c r="AM13" s="93">
        <f t="shared" si="14"/>
        <v>0</v>
      </c>
      <c r="AN13" s="16"/>
      <c r="AO13" s="101"/>
      <c r="AP13" s="100"/>
    </row>
    <row r="14" spans="1:46">
      <c r="A14" s="23">
        <f>BZ_100!A12</f>
        <v>0</v>
      </c>
      <c r="B14" s="27">
        <f>BZ_100!B12</f>
        <v>0</v>
      </c>
      <c r="C14" s="27">
        <f>BZ_100!C12</f>
        <v>0</v>
      </c>
      <c r="D14" s="27">
        <f>BZ_100!D12</f>
        <v>0</v>
      </c>
      <c r="E14" s="27">
        <f>BZ_100!E12</f>
        <v>0</v>
      </c>
      <c r="F14" s="27">
        <f>BZ_100!F12</f>
        <v>0</v>
      </c>
      <c r="G14" s="24">
        <f>BZ_100!G12</f>
        <v>0</v>
      </c>
      <c r="H14" s="45">
        <f>BZ_100!H12</f>
        <v>0</v>
      </c>
      <c r="I14" s="26">
        <f>BZ_100!I12</f>
        <v>0</v>
      </c>
      <c r="J14" s="27">
        <f>BZ_100!J12</f>
        <v>0</v>
      </c>
      <c r="K14" s="27">
        <f>BZ_100!K12</f>
        <v>0</v>
      </c>
      <c r="L14" s="25">
        <f>BZ_100!L12</f>
        <v>0</v>
      </c>
      <c r="M14" s="25">
        <f>BZ_100!M12</f>
        <v>0</v>
      </c>
      <c r="N14" s="25">
        <f>BZ_100!N12</f>
        <v>0</v>
      </c>
      <c r="O14" s="25">
        <f>BZ_100!O12</f>
        <v>0</v>
      </c>
      <c r="P14" s="25">
        <f>BZ_100!P12</f>
        <v>0</v>
      </c>
      <c r="Q14" s="25">
        <f>BZ_100!Q12</f>
        <v>0</v>
      </c>
      <c r="R14" s="27">
        <f>BZ_100!R12</f>
        <v>0</v>
      </c>
      <c r="S14" s="25">
        <f>BZ_100!S12</f>
        <v>0</v>
      </c>
      <c r="T14" s="25">
        <f>BZ_100!T12</f>
        <v>0</v>
      </c>
      <c r="U14" s="36">
        <f>BZ_100!U12</f>
        <v>0</v>
      </c>
      <c r="V14" s="37">
        <f>BZ_100!V12</f>
        <v>0</v>
      </c>
      <c r="W14" s="70">
        <f t="shared" si="1"/>
        <v>0</v>
      </c>
      <c r="X14" s="71" t="e">
        <f t="shared" si="2"/>
        <v>#DIV/0!</v>
      </c>
      <c r="Y14" s="72" t="e">
        <f t="shared" si="4"/>
        <v>#DIV/0!</v>
      </c>
      <c r="Z14" s="72" t="e">
        <f t="shared" si="5"/>
        <v>#DIV/0!</v>
      </c>
      <c r="AA14" s="72" t="e">
        <f t="shared" si="6"/>
        <v>#DIV/0!</v>
      </c>
      <c r="AB14" s="73">
        <v>11</v>
      </c>
      <c r="AC14" s="74">
        <f t="shared" si="7"/>
        <v>0</v>
      </c>
      <c r="AD14" s="86">
        <f t="shared" si="0"/>
        <v>0</v>
      </c>
      <c r="AE14" s="74">
        <f t="shared" si="3"/>
        <v>0</v>
      </c>
      <c r="AF14" s="75">
        <f t="shared" si="8"/>
        <v>0</v>
      </c>
      <c r="AG14" s="75">
        <f t="shared" si="9"/>
        <v>0</v>
      </c>
      <c r="AH14" s="82">
        <f t="shared" si="15"/>
        <v>0</v>
      </c>
      <c r="AI14" s="93">
        <f t="shared" si="10"/>
        <v>0</v>
      </c>
      <c r="AJ14" s="92">
        <f t="shared" si="11"/>
        <v>0</v>
      </c>
      <c r="AK14" s="82">
        <f t="shared" si="12"/>
        <v>0</v>
      </c>
      <c r="AL14" s="82">
        <f t="shared" si="13"/>
        <v>0</v>
      </c>
      <c r="AM14" s="93">
        <f t="shared" si="14"/>
        <v>0</v>
      </c>
      <c r="AN14" s="16"/>
      <c r="AO14" s="100"/>
      <c r="AP14" s="100"/>
    </row>
    <row r="15" spans="1:46">
      <c r="A15" s="23">
        <f>BZ_100!A13</f>
        <v>0</v>
      </c>
      <c r="B15" s="27">
        <f>BZ_100!B13</f>
        <v>0</v>
      </c>
      <c r="C15" s="27">
        <f>BZ_100!C13</f>
        <v>0</v>
      </c>
      <c r="D15" s="27">
        <f>BZ_100!D13</f>
        <v>0</v>
      </c>
      <c r="E15" s="27">
        <f>BZ_100!E13</f>
        <v>0</v>
      </c>
      <c r="F15" s="27">
        <f>BZ_100!F13</f>
        <v>0</v>
      </c>
      <c r="G15" s="24">
        <f>BZ_100!G13</f>
        <v>0</v>
      </c>
      <c r="H15" s="45">
        <f>BZ_100!H13</f>
        <v>0</v>
      </c>
      <c r="I15" s="26">
        <f>BZ_100!I13</f>
        <v>0</v>
      </c>
      <c r="J15" s="27">
        <f>BZ_100!J13</f>
        <v>0</v>
      </c>
      <c r="K15" s="27">
        <f>BZ_100!K13</f>
        <v>0</v>
      </c>
      <c r="L15" s="25">
        <f>BZ_100!L13</f>
        <v>0</v>
      </c>
      <c r="M15" s="25">
        <f>BZ_100!M13</f>
        <v>0</v>
      </c>
      <c r="N15" s="25">
        <f>BZ_100!N13</f>
        <v>0</v>
      </c>
      <c r="O15" s="25">
        <f>BZ_100!O13</f>
        <v>0</v>
      </c>
      <c r="P15" s="25">
        <f>BZ_100!P13</f>
        <v>0</v>
      </c>
      <c r="Q15" s="25">
        <f>BZ_100!Q13</f>
        <v>0</v>
      </c>
      <c r="R15" s="27">
        <f>BZ_100!R13</f>
        <v>0</v>
      </c>
      <c r="S15" s="25">
        <f>BZ_100!S13</f>
        <v>0</v>
      </c>
      <c r="T15" s="25">
        <f>BZ_100!T13</f>
        <v>0</v>
      </c>
      <c r="U15" s="36">
        <f>BZ_100!U13</f>
        <v>0</v>
      </c>
      <c r="V15" s="37">
        <f>BZ_100!V13</f>
        <v>0</v>
      </c>
      <c r="W15" s="70">
        <f t="shared" si="1"/>
        <v>0</v>
      </c>
      <c r="X15" s="71" t="e">
        <f t="shared" si="2"/>
        <v>#DIV/0!</v>
      </c>
      <c r="Y15" s="72" t="e">
        <f t="shared" si="4"/>
        <v>#DIV/0!</v>
      </c>
      <c r="Z15" s="72" t="e">
        <f t="shared" si="5"/>
        <v>#DIV/0!</v>
      </c>
      <c r="AA15" s="72" t="e">
        <f t="shared" si="6"/>
        <v>#DIV/0!</v>
      </c>
      <c r="AB15" s="73">
        <v>12</v>
      </c>
      <c r="AC15" s="74">
        <f t="shared" si="7"/>
        <v>0</v>
      </c>
      <c r="AD15" s="86">
        <f t="shared" si="0"/>
        <v>0</v>
      </c>
      <c r="AE15" s="74">
        <f t="shared" si="3"/>
        <v>0</v>
      </c>
      <c r="AF15" s="75">
        <f t="shared" si="8"/>
        <v>0</v>
      </c>
      <c r="AG15" s="75">
        <f t="shared" si="9"/>
        <v>0</v>
      </c>
      <c r="AH15" s="82">
        <f t="shared" si="15"/>
        <v>0</v>
      </c>
      <c r="AI15" s="93">
        <f t="shared" si="10"/>
        <v>0</v>
      </c>
      <c r="AJ15" s="92">
        <f t="shared" si="11"/>
        <v>0</v>
      </c>
      <c r="AK15" s="82">
        <f t="shared" si="12"/>
        <v>0</v>
      </c>
      <c r="AL15" s="82">
        <f t="shared" si="13"/>
        <v>0</v>
      </c>
      <c r="AM15" s="93">
        <f t="shared" si="14"/>
        <v>0</v>
      </c>
      <c r="AN15" s="16"/>
      <c r="AO15" s="100"/>
      <c r="AP15" s="100"/>
    </row>
    <row r="16" spans="1:46">
      <c r="A16" s="23">
        <f>BZ_100!A14</f>
        <v>0</v>
      </c>
      <c r="B16" s="27">
        <f>BZ_100!B14</f>
        <v>0</v>
      </c>
      <c r="C16" s="27">
        <f>BZ_100!C14</f>
        <v>0</v>
      </c>
      <c r="D16" s="27">
        <f>BZ_100!D14</f>
        <v>0</v>
      </c>
      <c r="E16" s="27">
        <f>BZ_100!E14</f>
        <v>0</v>
      </c>
      <c r="F16" s="27">
        <f>BZ_100!F14</f>
        <v>0</v>
      </c>
      <c r="G16" s="24">
        <f>BZ_100!G14</f>
        <v>0</v>
      </c>
      <c r="H16" s="45">
        <f>BZ_100!H14</f>
        <v>0</v>
      </c>
      <c r="I16" s="26">
        <f>BZ_100!I14</f>
        <v>0</v>
      </c>
      <c r="J16" s="27">
        <f>BZ_100!J14</f>
        <v>0</v>
      </c>
      <c r="K16" s="27">
        <f>BZ_100!K14</f>
        <v>0</v>
      </c>
      <c r="L16" s="25">
        <f>BZ_100!L14</f>
        <v>0</v>
      </c>
      <c r="M16" s="25">
        <f>BZ_100!M14</f>
        <v>0</v>
      </c>
      <c r="N16" s="25">
        <f>BZ_100!N14</f>
        <v>0</v>
      </c>
      <c r="O16" s="25">
        <f>BZ_100!O14</f>
        <v>0</v>
      </c>
      <c r="P16" s="25">
        <f>BZ_100!P14</f>
        <v>0</v>
      </c>
      <c r="Q16" s="25">
        <f>BZ_100!Q14</f>
        <v>0</v>
      </c>
      <c r="R16" s="27">
        <f>BZ_100!R14</f>
        <v>0</v>
      </c>
      <c r="S16" s="25">
        <f>BZ_100!S14</f>
        <v>0</v>
      </c>
      <c r="T16" s="25">
        <f>BZ_100!T14</f>
        <v>0</v>
      </c>
      <c r="U16" s="36">
        <f>BZ_100!U14</f>
        <v>0</v>
      </c>
      <c r="V16" s="37">
        <f>BZ_100!V14</f>
        <v>0</v>
      </c>
      <c r="W16" s="70">
        <f t="shared" si="1"/>
        <v>0</v>
      </c>
      <c r="X16" s="71" t="e">
        <f t="shared" si="2"/>
        <v>#DIV/0!</v>
      </c>
      <c r="Y16" s="72" t="e">
        <f t="shared" si="4"/>
        <v>#DIV/0!</v>
      </c>
      <c r="Z16" s="72" t="e">
        <f t="shared" si="5"/>
        <v>#DIV/0!</v>
      </c>
      <c r="AA16" s="72" t="e">
        <f t="shared" si="6"/>
        <v>#DIV/0!</v>
      </c>
      <c r="AB16" s="73">
        <v>13</v>
      </c>
      <c r="AC16" s="74">
        <f t="shared" si="7"/>
        <v>0</v>
      </c>
      <c r="AD16" s="86">
        <f t="shared" si="0"/>
        <v>0</v>
      </c>
      <c r="AE16" s="74">
        <f t="shared" si="3"/>
        <v>0</v>
      </c>
      <c r="AF16" s="75">
        <f t="shared" si="8"/>
        <v>0</v>
      </c>
      <c r="AG16" s="75">
        <f t="shared" si="9"/>
        <v>0</v>
      </c>
      <c r="AH16" s="82">
        <f t="shared" si="15"/>
        <v>0</v>
      </c>
      <c r="AI16" s="93">
        <f t="shared" si="10"/>
        <v>0</v>
      </c>
      <c r="AJ16" s="92">
        <f t="shared" si="11"/>
        <v>0</v>
      </c>
      <c r="AK16" s="82">
        <f t="shared" si="12"/>
        <v>0</v>
      </c>
      <c r="AL16" s="82">
        <f t="shared" si="13"/>
        <v>0</v>
      </c>
      <c r="AM16" s="93">
        <f t="shared" si="14"/>
        <v>0</v>
      </c>
      <c r="AN16" s="16"/>
      <c r="AO16" s="100"/>
      <c r="AP16" s="100"/>
    </row>
    <row r="17" spans="1:42">
      <c r="A17" s="23">
        <f>BZ_100!A15</f>
        <v>0</v>
      </c>
      <c r="B17" s="27">
        <f>BZ_100!B15</f>
        <v>0</v>
      </c>
      <c r="C17" s="27">
        <f>BZ_100!C15</f>
        <v>0</v>
      </c>
      <c r="D17" s="27">
        <f>BZ_100!D15</f>
        <v>0</v>
      </c>
      <c r="E17" s="27">
        <f>BZ_100!E15</f>
        <v>0</v>
      </c>
      <c r="F17" s="27">
        <f>BZ_100!F15</f>
        <v>0</v>
      </c>
      <c r="G17" s="24">
        <f>BZ_100!G15</f>
        <v>0</v>
      </c>
      <c r="H17" s="45">
        <f>BZ_100!H15</f>
        <v>0</v>
      </c>
      <c r="I17" s="26">
        <f>BZ_100!I15</f>
        <v>0</v>
      </c>
      <c r="J17" s="27">
        <f>BZ_100!J15</f>
        <v>0</v>
      </c>
      <c r="K17" s="27">
        <f>BZ_100!K15</f>
        <v>0</v>
      </c>
      <c r="L17" s="25">
        <f>BZ_100!L15</f>
        <v>0</v>
      </c>
      <c r="M17" s="25">
        <f>BZ_100!M15</f>
        <v>0</v>
      </c>
      <c r="N17" s="25">
        <f>BZ_100!N15</f>
        <v>0</v>
      </c>
      <c r="O17" s="25">
        <f>BZ_100!O15</f>
        <v>0</v>
      </c>
      <c r="P17" s="25">
        <f>BZ_100!P15</f>
        <v>0</v>
      </c>
      <c r="Q17" s="25">
        <f>BZ_100!Q15</f>
        <v>0</v>
      </c>
      <c r="R17" s="27">
        <f>BZ_100!R15</f>
        <v>0</v>
      </c>
      <c r="S17" s="25">
        <f>BZ_100!S15</f>
        <v>0</v>
      </c>
      <c r="T17" s="25">
        <f>BZ_100!T15</f>
        <v>0</v>
      </c>
      <c r="U17" s="36">
        <f>BZ_100!U15</f>
        <v>0</v>
      </c>
      <c r="V17" s="37">
        <f>BZ_100!V15</f>
        <v>0</v>
      </c>
      <c r="W17" s="70">
        <f t="shared" si="1"/>
        <v>0</v>
      </c>
      <c r="X17" s="71" t="e">
        <f t="shared" si="2"/>
        <v>#DIV/0!</v>
      </c>
      <c r="Y17" s="72" t="e">
        <f t="shared" si="4"/>
        <v>#DIV/0!</v>
      </c>
      <c r="Z17" s="72" t="e">
        <f t="shared" si="5"/>
        <v>#DIV/0!</v>
      </c>
      <c r="AA17" s="72" t="e">
        <f t="shared" si="6"/>
        <v>#DIV/0!</v>
      </c>
      <c r="AB17" s="73">
        <v>14</v>
      </c>
      <c r="AC17" s="74">
        <f t="shared" si="7"/>
        <v>0</v>
      </c>
      <c r="AD17" s="86">
        <f t="shared" si="0"/>
        <v>0</v>
      </c>
      <c r="AE17" s="74">
        <f t="shared" si="3"/>
        <v>0</v>
      </c>
      <c r="AF17" s="75">
        <f t="shared" si="8"/>
        <v>0</v>
      </c>
      <c r="AG17" s="75">
        <f t="shared" si="9"/>
        <v>0</v>
      </c>
      <c r="AH17" s="82">
        <f t="shared" si="15"/>
        <v>0</v>
      </c>
      <c r="AI17" s="93">
        <f t="shared" si="10"/>
        <v>0</v>
      </c>
      <c r="AJ17" s="92">
        <f t="shared" si="11"/>
        <v>0</v>
      </c>
      <c r="AK17" s="82">
        <f t="shared" si="12"/>
        <v>0</v>
      </c>
      <c r="AL17" s="82">
        <f t="shared" si="13"/>
        <v>0</v>
      </c>
      <c r="AM17" s="93">
        <f t="shared" si="14"/>
        <v>0</v>
      </c>
      <c r="AN17" s="16"/>
      <c r="AO17" s="100"/>
      <c r="AP17" s="100"/>
    </row>
    <row r="18" spans="1:42">
      <c r="A18" s="23">
        <f>BZ_100!A17</f>
        <v>0</v>
      </c>
      <c r="B18" s="27">
        <f>BZ_100!B17</f>
        <v>0</v>
      </c>
      <c r="C18" s="27">
        <f>BZ_100!C17</f>
        <v>0</v>
      </c>
      <c r="D18" s="27">
        <f>BZ_100!D17</f>
        <v>0</v>
      </c>
      <c r="E18" s="27">
        <f>BZ_100!E16</f>
        <v>0</v>
      </c>
      <c r="F18" s="27">
        <f>BZ_100!F16</f>
        <v>0</v>
      </c>
      <c r="G18" s="24">
        <f>BZ_100!G16</f>
        <v>0</v>
      </c>
      <c r="H18" s="45">
        <f>BZ_100!H16</f>
        <v>0</v>
      </c>
      <c r="I18" s="26">
        <f>BZ_100!I16</f>
        <v>0</v>
      </c>
      <c r="J18" s="27">
        <f>BZ_100!J16</f>
        <v>0</v>
      </c>
      <c r="K18" s="27">
        <f>BZ_100!K16</f>
        <v>0</v>
      </c>
      <c r="L18" s="25">
        <f>BZ_100!L16</f>
        <v>0</v>
      </c>
      <c r="M18" s="25">
        <f>BZ_100!M16</f>
        <v>0</v>
      </c>
      <c r="N18" s="25">
        <f>BZ_100!N16</f>
        <v>0</v>
      </c>
      <c r="O18" s="25">
        <f>BZ_100!O16</f>
        <v>0</v>
      </c>
      <c r="P18" s="25">
        <f>BZ_100!P16</f>
        <v>0</v>
      </c>
      <c r="Q18" s="25">
        <f>BZ_100!Q16</f>
        <v>0</v>
      </c>
      <c r="R18" s="27">
        <f>BZ_100!R16</f>
        <v>0</v>
      </c>
      <c r="S18" s="25">
        <f>BZ_100!S16</f>
        <v>0</v>
      </c>
      <c r="T18" s="25">
        <f>BZ_100!T16</f>
        <v>0</v>
      </c>
      <c r="U18" s="36">
        <f>BZ_100!U16</f>
        <v>0</v>
      </c>
      <c r="V18" s="37">
        <f>BZ_100!V16</f>
        <v>0</v>
      </c>
      <c r="W18" s="70">
        <f t="shared" si="1"/>
        <v>0</v>
      </c>
      <c r="X18" s="71" t="e">
        <f t="shared" si="2"/>
        <v>#DIV/0!</v>
      </c>
      <c r="Y18" s="72" t="e">
        <f t="shared" si="4"/>
        <v>#DIV/0!</v>
      </c>
      <c r="Z18" s="72" t="e">
        <f t="shared" si="5"/>
        <v>#DIV/0!</v>
      </c>
      <c r="AA18" s="72" t="e">
        <f t="shared" si="6"/>
        <v>#DIV/0!</v>
      </c>
      <c r="AB18" s="73">
        <v>15</v>
      </c>
      <c r="AC18" s="74">
        <f t="shared" si="7"/>
        <v>0</v>
      </c>
      <c r="AD18" s="86">
        <f t="shared" si="0"/>
        <v>0</v>
      </c>
      <c r="AE18" s="74">
        <f t="shared" si="3"/>
        <v>0</v>
      </c>
      <c r="AF18" s="75">
        <f t="shared" si="8"/>
        <v>0</v>
      </c>
      <c r="AG18" s="75">
        <f t="shared" si="9"/>
        <v>0</v>
      </c>
      <c r="AH18" s="82">
        <f t="shared" si="15"/>
        <v>0</v>
      </c>
      <c r="AI18" s="93">
        <f t="shared" si="10"/>
        <v>0</v>
      </c>
      <c r="AJ18" s="92">
        <f t="shared" si="11"/>
        <v>0</v>
      </c>
      <c r="AK18" s="82">
        <f t="shared" si="12"/>
        <v>0</v>
      </c>
      <c r="AL18" s="82">
        <f t="shared" si="13"/>
        <v>0</v>
      </c>
      <c r="AM18" s="93">
        <f t="shared" si="14"/>
        <v>0</v>
      </c>
      <c r="AN18" s="16"/>
      <c r="AO18" s="100"/>
      <c r="AP18" s="100"/>
    </row>
    <row r="19" spans="1:42">
      <c r="A19" s="23">
        <f>BZ_100!A16</f>
        <v>0</v>
      </c>
      <c r="B19" s="27">
        <f>BZ_100!B16</f>
        <v>0</v>
      </c>
      <c r="C19" s="27">
        <f>BZ_100!C16</f>
        <v>0</v>
      </c>
      <c r="D19" s="27">
        <f>BZ_100!D16</f>
        <v>0</v>
      </c>
      <c r="E19" s="27">
        <f>BZ_100!E17</f>
        <v>0</v>
      </c>
      <c r="F19" s="27">
        <f>BZ_100!F17</f>
        <v>0</v>
      </c>
      <c r="G19" s="24">
        <f>BZ_100!G17</f>
        <v>0</v>
      </c>
      <c r="H19" s="45">
        <f>BZ_100!H17</f>
        <v>0</v>
      </c>
      <c r="I19" s="26">
        <f>BZ_100!I17</f>
        <v>0</v>
      </c>
      <c r="J19" s="27">
        <f>BZ_100!J17</f>
        <v>0</v>
      </c>
      <c r="K19" s="27">
        <f>BZ_100!K17</f>
        <v>0</v>
      </c>
      <c r="L19" s="25">
        <f>BZ_100!L17</f>
        <v>0</v>
      </c>
      <c r="M19" s="25">
        <f>BZ_100!M17</f>
        <v>0</v>
      </c>
      <c r="N19" s="25">
        <f>BZ_100!N17</f>
        <v>0</v>
      </c>
      <c r="O19" s="25">
        <f>BZ_100!O17</f>
        <v>0</v>
      </c>
      <c r="P19" s="25">
        <f>BZ_100!P17</f>
        <v>0</v>
      </c>
      <c r="Q19" s="25">
        <f>BZ_100!Q17</f>
        <v>0</v>
      </c>
      <c r="R19" s="27">
        <f>BZ_100!R17</f>
        <v>0</v>
      </c>
      <c r="S19" s="25">
        <f>BZ_100!S17</f>
        <v>0</v>
      </c>
      <c r="T19" s="25">
        <f>BZ_100!T17</f>
        <v>0</v>
      </c>
      <c r="U19" s="36">
        <f>BZ_100!U17</f>
        <v>0</v>
      </c>
      <c r="V19" s="37">
        <f>BZ_100!V17</f>
        <v>0</v>
      </c>
      <c r="W19" s="70">
        <f t="shared" si="1"/>
        <v>0</v>
      </c>
      <c r="X19" s="71" t="e">
        <f t="shared" si="2"/>
        <v>#DIV/0!</v>
      </c>
      <c r="Y19" s="72" t="e">
        <f t="shared" si="4"/>
        <v>#DIV/0!</v>
      </c>
      <c r="Z19" s="72" t="e">
        <f t="shared" si="5"/>
        <v>#DIV/0!</v>
      </c>
      <c r="AA19" s="72" t="e">
        <f t="shared" si="6"/>
        <v>#DIV/0!</v>
      </c>
      <c r="AB19" s="73">
        <v>16</v>
      </c>
      <c r="AC19" s="74">
        <f t="shared" si="7"/>
        <v>0</v>
      </c>
      <c r="AD19" s="86">
        <f t="shared" si="0"/>
        <v>0</v>
      </c>
      <c r="AE19" s="74">
        <f t="shared" si="3"/>
        <v>0</v>
      </c>
      <c r="AF19" s="75">
        <f t="shared" si="8"/>
        <v>0</v>
      </c>
      <c r="AG19" s="75">
        <f t="shared" si="9"/>
        <v>0</v>
      </c>
      <c r="AH19" s="82">
        <f t="shared" si="15"/>
        <v>0</v>
      </c>
      <c r="AI19" s="93">
        <f t="shared" si="10"/>
        <v>0</v>
      </c>
      <c r="AJ19" s="92">
        <f t="shared" si="11"/>
        <v>0</v>
      </c>
      <c r="AK19" s="82">
        <f t="shared" si="12"/>
        <v>0</v>
      </c>
      <c r="AL19" s="82">
        <f t="shared" si="13"/>
        <v>0</v>
      </c>
      <c r="AM19" s="93">
        <f t="shared" si="14"/>
        <v>0</v>
      </c>
      <c r="AN19" s="16"/>
      <c r="AO19" s="100"/>
      <c r="AP19" s="100"/>
    </row>
    <row r="20" spans="1:42">
      <c r="A20" s="23">
        <f>BZ_100!A18</f>
        <v>0</v>
      </c>
      <c r="B20" s="27">
        <f>BZ_100!B18</f>
        <v>0</v>
      </c>
      <c r="C20" s="27">
        <f>BZ_100!C18</f>
        <v>0</v>
      </c>
      <c r="D20" s="27">
        <f>BZ_100!D18</f>
        <v>0</v>
      </c>
      <c r="E20" s="27">
        <f>BZ_100!E18</f>
        <v>0</v>
      </c>
      <c r="F20" s="27">
        <f>BZ_100!F18</f>
        <v>0</v>
      </c>
      <c r="G20" s="24">
        <f>BZ_100!G18</f>
        <v>0</v>
      </c>
      <c r="H20" s="45">
        <f>BZ_100!H18</f>
        <v>0</v>
      </c>
      <c r="I20" s="26">
        <f>BZ_100!I18</f>
        <v>0</v>
      </c>
      <c r="J20" s="27">
        <f>BZ_100!J18</f>
        <v>0</v>
      </c>
      <c r="K20" s="27">
        <f>BZ_100!K18</f>
        <v>0</v>
      </c>
      <c r="L20" s="25">
        <f>BZ_100!L18</f>
        <v>0</v>
      </c>
      <c r="M20" s="25">
        <f>BZ_100!M18</f>
        <v>0</v>
      </c>
      <c r="N20" s="25">
        <f>BZ_100!N18</f>
        <v>0</v>
      </c>
      <c r="O20" s="25">
        <f>BZ_100!O18</f>
        <v>0</v>
      </c>
      <c r="P20" s="25">
        <f>BZ_100!P18</f>
        <v>0</v>
      </c>
      <c r="Q20" s="25">
        <f>BZ_100!Q18</f>
        <v>0</v>
      </c>
      <c r="R20" s="27">
        <f>BZ_100!R18</f>
        <v>0</v>
      </c>
      <c r="S20" s="25">
        <f>BZ_100!S18</f>
        <v>0</v>
      </c>
      <c r="T20" s="25">
        <f>BZ_100!T18</f>
        <v>0</v>
      </c>
      <c r="U20" s="36">
        <f>BZ_100!U18</f>
        <v>0</v>
      </c>
      <c r="V20" s="37">
        <f>BZ_100!V18</f>
        <v>0</v>
      </c>
      <c r="W20" s="70">
        <f t="shared" si="1"/>
        <v>0</v>
      </c>
      <c r="X20" s="71" t="e">
        <f t="shared" si="2"/>
        <v>#DIV/0!</v>
      </c>
      <c r="Y20" s="72" t="e">
        <f t="shared" si="4"/>
        <v>#DIV/0!</v>
      </c>
      <c r="Z20" s="72" t="e">
        <f t="shared" si="5"/>
        <v>#DIV/0!</v>
      </c>
      <c r="AA20" s="72" t="e">
        <f t="shared" si="6"/>
        <v>#DIV/0!</v>
      </c>
      <c r="AB20" s="73">
        <v>17</v>
      </c>
      <c r="AC20" s="74">
        <f t="shared" si="7"/>
        <v>0</v>
      </c>
      <c r="AD20" s="86">
        <f t="shared" si="0"/>
        <v>0</v>
      </c>
      <c r="AE20" s="74">
        <f t="shared" si="3"/>
        <v>0</v>
      </c>
      <c r="AF20" s="75">
        <f t="shared" si="8"/>
        <v>0</v>
      </c>
      <c r="AG20" s="75">
        <f t="shared" si="9"/>
        <v>0</v>
      </c>
      <c r="AH20" s="82">
        <f t="shared" si="15"/>
        <v>0</v>
      </c>
      <c r="AI20" s="93">
        <f t="shared" si="10"/>
        <v>0</v>
      </c>
      <c r="AJ20" s="92">
        <f t="shared" si="11"/>
        <v>0</v>
      </c>
      <c r="AK20" s="82">
        <f t="shared" si="12"/>
        <v>0</v>
      </c>
      <c r="AL20" s="82">
        <f t="shared" si="13"/>
        <v>0</v>
      </c>
      <c r="AM20" s="93">
        <f t="shared" si="14"/>
        <v>0</v>
      </c>
      <c r="AN20" s="16"/>
      <c r="AO20" s="100"/>
      <c r="AP20" s="100"/>
    </row>
    <row r="21" spans="1:42">
      <c r="A21" s="23">
        <f>BZ_100!A19</f>
        <v>0</v>
      </c>
      <c r="B21" s="27">
        <f>BZ_100!B19</f>
        <v>0</v>
      </c>
      <c r="C21" s="27">
        <f>BZ_100!C19</f>
        <v>0</v>
      </c>
      <c r="D21" s="27">
        <f>BZ_100!D19</f>
        <v>0</v>
      </c>
      <c r="E21" s="27">
        <f>BZ_100!E19</f>
        <v>0</v>
      </c>
      <c r="F21" s="27">
        <f>BZ_100!F19</f>
        <v>0</v>
      </c>
      <c r="G21" s="24">
        <f>BZ_100!G19</f>
        <v>0</v>
      </c>
      <c r="H21" s="45">
        <f>BZ_100!H19</f>
        <v>0</v>
      </c>
      <c r="I21" s="26">
        <f>BZ_100!I19</f>
        <v>0</v>
      </c>
      <c r="J21" s="27">
        <f>BZ_100!J19</f>
        <v>0</v>
      </c>
      <c r="K21" s="27">
        <f>BZ_100!K19</f>
        <v>0</v>
      </c>
      <c r="L21" s="25">
        <f>BZ_100!L19</f>
        <v>0</v>
      </c>
      <c r="M21" s="25">
        <f>BZ_100!M19</f>
        <v>0</v>
      </c>
      <c r="N21" s="25">
        <f>BZ_100!N19</f>
        <v>0</v>
      </c>
      <c r="O21" s="25">
        <f>BZ_100!O19</f>
        <v>0</v>
      </c>
      <c r="P21" s="25">
        <f>BZ_100!P19</f>
        <v>0</v>
      </c>
      <c r="Q21" s="25">
        <f>BZ_100!Q19</f>
        <v>0</v>
      </c>
      <c r="R21" s="27">
        <f>BZ_100!R19</f>
        <v>0</v>
      </c>
      <c r="S21" s="25">
        <f>BZ_100!S19</f>
        <v>0</v>
      </c>
      <c r="T21" s="25">
        <f>BZ_100!T19</f>
        <v>0</v>
      </c>
      <c r="U21" s="36">
        <f>BZ_100!U19</f>
        <v>0</v>
      </c>
      <c r="V21" s="37">
        <f>BZ_100!V19</f>
        <v>0</v>
      </c>
      <c r="W21" s="70">
        <f t="shared" si="1"/>
        <v>0</v>
      </c>
      <c r="X21" s="71" t="e">
        <f t="shared" si="2"/>
        <v>#DIV/0!</v>
      </c>
      <c r="Y21" s="72" t="e">
        <f t="shared" si="4"/>
        <v>#DIV/0!</v>
      </c>
      <c r="Z21" s="72" t="e">
        <f t="shared" si="5"/>
        <v>#DIV/0!</v>
      </c>
      <c r="AA21" s="72" t="e">
        <f t="shared" si="6"/>
        <v>#DIV/0!</v>
      </c>
      <c r="AB21" s="73">
        <v>18</v>
      </c>
      <c r="AC21" s="74">
        <f t="shared" si="7"/>
        <v>0</v>
      </c>
      <c r="AD21" s="86">
        <f t="shared" si="0"/>
        <v>0</v>
      </c>
      <c r="AE21" s="74">
        <f t="shared" si="3"/>
        <v>0</v>
      </c>
      <c r="AF21" s="75">
        <f t="shared" si="8"/>
        <v>0</v>
      </c>
      <c r="AG21" s="75">
        <f t="shared" si="9"/>
        <v>0</v>
      </c>
      <c r="AH21" s="82">
        <f t="shared" si="15"/>
        <v>0</v>
      </c>
      <c r="AI21" s="93">
        <f t="shared" si="10"/>
        <v>0</v>
      </c>
      <c r="AJ21" s="92">
        <f t="shared" si="11"/>
        <v>0</v>
      </c>
      <c r="AK21" s="82">
        <f t="shared" si="12"/>
        <v>0</v>
      </c>
      <c r="AL21" s="82">
        <f t="shared" si="13"/>
        <v>0</v>
      </c>
      <c r="AM21" s="93">
        <f t="shared" si="14"/>
        <v>0</v>
      </c>
      <c r="AN21" s="16"/>
      <c r="AO21" s="100"/>
      <c r="AP21" s="100"/>
    </row>
    <row r="22" spans="1:42">
      <c r="A22" s="23">
        <f>BZ_100!A20</f>
        <v>0</v>
      </c>
      <c r="B22" s="27">
        <f>BZ_100!B20</f>
        <v>0</v>
      </c>
      <c r="C22" s="27">
        <f>BZ_100!C20</f>
        <v>0</v>
      </c>
      <c r="D22" s="27">
        <f>BZ_100!D20</f>
        <v>0</v>
      </c>
      <c r="E22" s="27">
        <f>BZ_100!E20</f>
        <v>0</v>
      </c>
      <c r="F22" s="27">
        <f>BZ_100!F20</f>
        <v>0</v>
      </c>
      <c r="G22" s="24">
        <f>BZ_100!G20</f>
        <v>0</v>
      </c>
      <c r="H22" s="45">
        <f>BZ_100!H20</f>
        <v>0</v>
      </c>
      <c r="I22" s="26">
        <f>BZ_100!I20</f>
        <v>0</v>
      </c>
      <c r="J22" s="27">
        <f>BZ_100!J20</f>
        <v>0</v>
      </c>
      <c r="K22" s="27">
        <f>BZ_100!K20</f>
        <v>0</v>
      </c>
      <c r="L22" s="25">
        <f>BZ_100!L20</f>
        <v>0</v>
      </c>
      <c r="M22" s="25">
        <f>BZ_100!M20</f>
        <v>0</v>
      </c>
      <c r="N22" s="25">
        <f>BZ_100!N20</f>
        <v>0</v>
      </c>
      <c r="O22" s="25">
        <f>BZ_100!O20</f>
        <v>0</v>
      </c>
      <c r="P22" s="25">
        <f>BZ_100!P20</f>
        <v>0</v>
      </c>
      <c r="Q22" s="25">
        <f>BZ_100!Q20</f>
        <v>0</v>
      </c>
      <c r="R22" s="27">
        <f>BZ_100!R20</f>
        <v>0</v>
      </c>
      <c r="S22" s="25">
        <f>BZ_100!S20</f>
        <v>0</v>
      </c>
      <c r="T22" s="25">
        <f>BZ_100!T20</f>
        <v>0</v>
      </c>
      <c r="U22" s="36">
        <f>BZ_100!U20</f>
        <v>0</v>
      </c>
      <c r="V22" s="37">
        <f>BZ_100!V20</f>
        <v>0</v>
      </c>
      <c r="W22" s="70">
        <f t="shared" si="1"/>
        <v>0</v>
      </c>
      <c r="X22" s="71" t="e">
        <f t="shared" si="2"/>
        <v>#DIV/0!</v>
      </c>
      <c r="Y22" s="72" t="e">
        <f t="shared" si="4"/>
        <v>#DIV/0!</v>
      </c>
      <c r="Z22" s="72" t="e">
        <f t="shared" si="5"/>
        <v>#DIV/0!</v>
      </c>
      <c r="AA22" s="72" t="e">
        <f t="shared" si="6"/>
        <v>#DIV/0!</v>
      </c>
      <c r="AB22" s="73">
        <v>19</v>
      </c>
      <c r="AC22" s="74">
        <f t="shared" si="7"/>
        <v>0</v>
      </c>
      <c r="AD22" s="86">
        <f t="shared" si="0"/>
        <v>0</v>
      </c>
      <c r="AE22" s="74">
        <f t="shared" si="3"/>
        <v>0</v>
      </c>
      <c r="AF22" s="75">
        <f t="shared" si="8"/>
        <v>0</v>
      </c>
      <c r="AG22" s="75">
        <f t="shared" si="9"/>
        <v>0</v>
      </c>
      <c r="AH22" s="82">
        <f t="shared" si="15"/>
        <v>0</v>
      </c>
      <c r="AI22" s="93">
        <f t="shared" si="10"/>
        <v>0</v>
      </c>
      <c r="AJ22" s="92">
        <f t="shared" si="11"/>
        <v>0</v>
      </c>
      <c r="AK22" s="82">
        <f t="shared" si="12"/>
        <v>0</v>
      </c>
      <c r="AL22" s="82">
        <f t="shared" si="13"/>
        <v>0</v>
      </c>
      <c r="AM22" s="93">
        <f t="shared" si="14"/>
        <v>0</v>
      </c>
      <c r="AN22" s="16"/>
      <c r="AO22" s="100"/>
      <c r="AP22" s="100"/>
    </row>
    <row r="23" spans="1:42">
      <c r="A23" s="23">
        <f>BZ_100!A21</f>
        <v>0</v>
      </c>
      <c r="B23" s="27">
        <f>BZ_100!B21</f>
        <v>0</v>
      </c>
      <c r="C23" s="27">
        <f>BZ_100!C21</f>
        <v>0</v>
      </c>
      <c r="D23" s="27">
        <f>BZ_100!D21</f>
        <v>0</v>
      </c>
      <c r="E23" s="27">
        <f>BZ_100!E21</f>
        <v>0</v>
      </c>
      <c r="F23" s="27">
        <f>BZ_100!F21</f>
        <v>0</v>
      </c>
      <c r="G23" s="24">
        <f>BZ_100!G21</f>
        <v>0</v>
      </c>
      <c r="H23" s="45">
        <f>BZ_100!H21</f>
        <v>0</v>
      </c>
      <c r="I23" s="26">
        <f>BZ_100!I21</f>
        <v>0</v>
      </c>
      <c r="J23" s="27">
        <f>BZ_100!J21</f>
        <v>0</v>
      </c>
      <c r="K23" s="27">
        <f>BZ_100!K21</f>
        <v>0</v>
      </c>
      <c r="L23" s="25">
        <f>BZ_100!L21</f>
        <v>0</v>
      </c>
      <c r="M23" s="25">
        <f>BZ_100!M21</f>
        <v>0</v>
      </c>
      <c r="N23" s="25">
        <f>BZ_100!N21</f>
        <v>0</v>
      </c>
      <c r="O23" s="25">
        <f>BZ_100!O21</f>
        <v>0</v>
      </c>
      <c r="P23" s="25">
        <f>BZ_100!P21</f>
        <v>0</v>
      </c>
      <c r="Q23" s="25">
        <f>BZ_100!Q21</f>
        <v>0</v>
      </c>
      <c r="R23" s="27">
        <f>BZ_100!R21</f>
        <v>0</v>
      </c>
      <c r="S23" s="25">
        <f>BZ_100!S21</f>
        <v>0</v>
      </c>
      <c r="T23" s="25">
        <f>BZ_100!T21</f>
        <v>0</v>
      </c>
      <c r="U23" s="36">
        <f>BZ_100!U21</f>
        <v>0</v>
      </c>
      <c r="V23" s="37">
        <f>BZ_100!V21</f>
        <v>0</v>
      </c>
      <c r="W23" s="70">
        <f t="shared" si="1"/>
        <v>0</v>
      </c>
      <c r="X23" s="71" t="e">
        <f t="shared" si="2"/>
        <v>#DIV/0!</v>
      </c>
      <c r="Y23" s="72" t="e">
        <f t="shared" si="4"/>
        <v>#DIV/0!</v>
      </c>
      <c r="Z23" s="72" t="e">
        <f t="shared" si="5"/>
        <v>#DIV/0!</v>
      </c>
      <c r="AA23" s="72" t="e">
        <f t="shared" si="6"/>
        <v>#DIV/0!</v>
      </c>
      <c r="AB23" s="73">
        <v>20</v>
      </c>
      <c r="AC23" s="74">
        <f t="shared" si="7"/>
        <v>0</v>
      </c>
      <c r="AD23" s="86">
        <f t="shared" si="0"/>
        <v>0</v>
      </c>
      <c r="AE23" s="74">
        <f t="shared" si="3"/>
        <v>0</v>
      </c>
      <c r="AF23" s="75">
        <f t="shared" si="8"/>
        <v>0</v>
      </c>
      <c r="AG23" s="75">
        <f t="shared" si="9"/>
        <v>0</v>
      </c>
      <c r="AH23" s="82">
        <f t="shared" si="15"/>
        <v>0</v>
      </c>
      <c r="AI23" s="93">
        <f t="shared" si="10"/>
        <v>0</v>
      </c>
      <c r="AJ23" s="92">
        <f t="shared" si="11"/>
        <v>0</v>
      </c>
      <c r="AK23" s="82">
        <f t="shared" si="12"/>
        <v>0</v>
      </c>
      <c r="AL23" s="82">
        <f t="shared" si="13"/>
        <v>0</v>
      </c>
      <c r="AM23" s="93">
        <f t="shared" si="14"/>
        <v>0</v>
      </c>
      <c r="AN23" s="16"/>
      <c r="AO23" s="100"/>
      <c r="AP23" s="100"/>
    </row>
    <row r="24" spans="1:42">
      <c r="A24" s="23">
        <f>BZ_100!A22</f>
        <v>0</v>
      </c>
      <c r="B24" s="27">
        <f>BZ_100!B22</f>
        <v>0</v>
      </c>
      <c r="C24" s="27">
        <f>BZ_100!C22</f>
        <v>0</v>
      </c>
      <c r="D24" s="27">
        <f>BZ_100!D22</f>
        <v>0</v>
      </c>
      <c r="E24" s="27">
        <f>BZ_100!E22</f>
        <v>0</v>
      </c>
      <c r="F24" s="27">
        <f>BZ_100!F22</f>
        <v>0</v>
      </c>
      <c r="G24" s="24">
        <f>BZ_100!G22</f>
        <v>0</v>
      </c>
      <c r="H24" s="45">
        <f>BZ_100!H22</f>
        <v>0</v>
      </c>
      <c r="I24" s="26">
        <f>BZ_100!I22</f>
        <v>0</v>
      </c>
      <c r="J24" s="27">
        <f>BZ_100!J22</f>
        <v>0</v>
      </c>
      <c r="K24" s="27">
        <f>BZ_100!K22</f>
        <v>0</v>
      </c>
      <c r="L24" s="25">
        <f>BZ_100!L22</f>
        <v>0</v>
      </c>
      <c r="M24" s="25">
        <f>BZ_100!M22</f>
        <v>0</v>
      </c>
      <c r="N24" s="25">
        <f>BZ_100!N22</f>
        <v>0</v>
      </c>
      <c r="O24" s="25">
        <f>BZ_100!O22</f>
        <v>0</v>
      </c>
      <c r="P24" s="25">
        <f>BZ_100!P22</f>
        <v>0</v>
      </c>
      <c r="Q24" s="25">
        <f>BZ_100!Q22</f>
        <v>0</v>
      </c>
      <c r="R24" s="27">
        <f>BZ_100!R22</f>
        <v>0</v>
      </c>
      <c r="S24" s="25">
        <f>BZ_100!S22</f>
        <v>0</v>
      </c>
      <c r="T24" s="25">
        <f>BZ_100!T22</f>
        <v>0</v>
      </c>
      <c r="U24" s="36">
        <f>BZ_100!U22</f>
        <v>0</v>
      </c>
      <c r="V24" s="37">
        <f>BZ_100!V22</f>
        <v>0</v>
      </c>
      <c r="W24" s="70">
        <f t="shared" si="1"/>
        <v>0</v>
      </c>
      <c r="X24" s="71" t="e">
        <f t="shared" si="2"/>
        <v>#DIV/0!</v>
      </c>
      <c r="Y24" s="72" t="e">
        <f t="shared" si="4"/>
        <v>#DIV/0!</v>
      </c>
      <c r="Z24" s="72" t="e">
        <f t="shared" si="5"/>
        <v>#DIV/0!</v>
      </c>
      <c r="AA24" s="72" t="e">
        <f t="shared" si="6"/>
        <v>#DIV/0!</v>
      </c>
      <c r="AB24" s="73">
        <v>21</v>
      </c>
      <c r="AC24" s="74">
        <f t="shared" si="7"/>
        <v>0</v>
      </c>
      <c r="AD24" s="86">
        <f t="shared" si="0"/>
        <v>0</v>
      </c>
      <c r="AE24" s="74">
        <f t="shared" si="3"/>
        <v>0</v>
      </c>
      <c r="AF24" s="75">
        <f t="shared" si="8"/>
        <v>0</v>
      </c>
      <c r="AG24" s="75">
        <f t="shared" si="9"/>
        <v>0</v>
      </c>
      <c r="AH24" s="82">
        <f t="shared" si="15"/>
        <v>0</v>
      </c>
      <c r="AI24" s="93">
        <f t="shared" si="10"/>
        <v>0</v>
      </c>
      <c r="AJ24" s="92">
        <f t="shared" si="11"/>
        <v>0</v>
      </c>
      <c r="AK24" s="82">
        <f t="shared" si="12"/>
        <v>0</v>
      </c>
      <c r="AL24" s="82">
        <f t="shared" si="13"/>
        <v>0</v>
      </c>
      <c r="AM24" s="93">
        <f t="shared" si="14"/>
        <v>0</v>
      </c>
      <c r="AN24" s="16"/>
      <c r="AO24" s="100"/>
      <c r="AP24" s="100"/>
    </row>
    <row r="25" spans="1:42">
      <c r="A25" s="23">
        <f>BZ_100!A23</f>
        <v>0</v>
      </c>
      <c r="B25" s="27">
        <f>BZ_100!B23</f>
        <v>0</v>
      </c>
      <c r="C25" s="27">
        <f>BZ_100!C23</f>
        <v>0</v>
      </c>
      <c r="D25" s="27">
        <f>BZ_100!D23</f>
        <v>0</v>
      </c>
      <c r="E25" s="27">
        <f>BZ_100!E23</f>
        <v>0</v>
      </c>
      <c r="F25" s="27">
        <f>BZ_100!F23</f>
        <v>0</v>
      </c>
      <c r="G25" s="24">
        <f>BZ_100!G23</f>
        <v>0</v>
      </c>
      <c r="H25" s="45">
        <f>BZ_100!H23</f>
        <v>0</v>
      </c>
      <c r="I25" s="26">
        <f>BZ_100!I23</f>
        <v>0</v>
      </c>
      <c r="J25" s="27">
        <f>BZ_100!J23</f>
        <v>0</v>
      </c>
      <c r="K25" s="27">
        <f>BZ_100!K23</f>
        <v>0</v>
      </c>
      <c r="L25" s="25">
        <f>BZ_100!L23</f>
        <v>0</v>
      </c>
      <c r="M25" s="25">
        <f>BZ_100!M23</f>
        <v>0</v>
      </c>
      <c r="N25" s="25">
        <f>BZ_100!N23</f>
        <v>0</v>
      </c>
      <c r="O25" s="25">
        <f>BZ_100!O23</f>
        <v>0</v>
      </c>
      <c r="P25" s="25">
        <f>BZ_100!P23</f>
        <v>0</v>
      </c>
      <c r="Q25" s="25">
        <f>BZ_100!Q23</f>
        <v>0</v>
      </c>
      <c r="R25" s="27">
        <f>BZ_100!R23</f>
        <v>0</v>
      </c>
      <c r="S25" s="25">
        <f>BZ_100!S23</f>
        <v>0</v>
      </c>
      <c r="T25" s="25">
        <f>BZ_100!T23</f>
        <v>0</v>
      </c>
      <c r="U25" s="36">
        <f>BZ_100!U23</f>
        <v>0</v>
      </c>
      <c r="V25" s="37">
        <f>BZ_100!V23</f>
        <v>0</v>
      </c>
      <c r="W25" s="70">
        <f t="shared" si="1"/>
        <v>0</v>
      </c>
      <c r="X25" s="71" t="e">
        <f t="shared" si="2"/>
        <v>#DIV/0!</v>
      </c>
      <c r="Y25" s="72" t="e">
        <f t="shared" si="4"/>
        <v>#DIV/0!</v>
      </c>
      <c r="Z25" s="72" t="e">
        <f t="shared" si="5"/>
        <v>#DIV/0!</v>
      </c>
      <c r="AA25" s="72" t="e">
        <f t="shared" si="6"/>
        <v>#DIV/0!</v>
      </c>
      <c r="AB25" s="73">
        <v>22</v>
      </c>
      <c r="AC25" s="74">
        <f t="shared" si="7"/>
        <v>0</v>
      </c>
      <c r="AD25" s="86">
        <f t="shared" si="0"/>
        <v>0</v>
      </c>
      <c r="AE25" s="74">
        <f t="shared" si="3"/>
        <v>0</v>
      </c>
      <c r="AF25" s="75">
        <f t="shared" si="8"/>
        <v>0</v>
      </c>
      <c r="AG25" s="75">
        <f t="shared" si="9"/>
        <v>0</v>
      </c>
      <c r="AH25" s="82">
        <f t="shared" si="15"/>
        <v>0</v>
      </c>
      <c r="AI25" s="93">
        <f t="shared" si="10"/>
        <v>0</v>
      </c>
      <c r="AJ25" s="92">
        <f t="shared" si="11"/>
        <v>0</v>
      </c>
      <c r="AK25" s="82">
        <f t="shared" si="12"/>
        <v>0</v>
      </c>
      <c r="AL25" s="82">
        <f t="shared" si="13"/>
        <v>0</v>
      </c>
      <c r="AM25" s="93">
        <f t="shared" si="14"/>
        <v>0</v>
      </c>
      <c r="AN25" s="16"/>
      <c r="AO25" s="100"/>
      <c r="AP25" s="100"/>
    </row>
    <row r="26" spans="1:42">
      <c r="A26" s="23">
        <f>BZ_100!A24</f>
        <v>0</v>
      </c>
      <c r="B26" s="27">
        <f>BZ_100!B24</f>
        <v>0</v>
      </c>
      <c r="C26" s="27">
        <f>BZ_100!C24</f>
        <v>0</v>
      </c>
      <c r="D26" s="27">
        <f>BZ_100!D24</f>
        <v>0</v>
      </c>
      <c r="E26" s="27">
        <f>BZ_100!E24</f>
        <v>0</v>
      </c>
      <c r="F26" s="27">
        <f>BZ_100!F24</f>
        <v>0</v>
      </c>
      <c r="G26" s="24">
        <f>BZ_100!G24</f>
        <v>0</v>
      </c>
      <c r="H26" s="45">
        <f>BZ_100!H24</f>
        <v>0</v>
      </c>
      <c r="I26" s="26">
        <f>BZ_100!I24</f>
        <v>0</v>
      </c>
      <c r="J26" s="27">
        <f>BZ_100!J24</f>
        <v>0</v>
      </c>
      <c r="K26" s="27">
        <f>BZ_100!K24</f>
        <v>0</v>
      </c>
      <c r="L26" s="25">
        <f>BZ_100!L24</f>
        <v>0</v>
      </c>
      <c r="M26" s="25">
        <f>BZ_100!M24</f>
        <v>0</v>
      </c>
      <c r="N26" s="25">
        <f>BZ_100!N24</f>
        <v>0</v>
      </c>
      <c r="O26" s="25">
        <f>BZ_100!O24</f>
        <v>0</v>
      </c>
      <c r="P26" s="25">
        <f>BZ_100!P24</f>
        <v>0</v>
      </c>
      <c r="Q26" s="25">
        <f>BZ_100!Q24</f>
        <v>0</v>
      </c>
      <c r="R26" s="27">
        <f>BZ_100!R24</f>
        <v>0</v>
      </c>
      <c r="S26" s="25">
        <f>BZ_100!S24</f>
        <v>0</v>
      </c>
      <c r="T26" s="25">
        <f>BZ_100!T24</f>
        <v>0</v>
      </c>
      <c r="U26" s="36">
        <f>BZ_100!U24</f>
        <v>0</v>
      </c>
      <c r="V26" s="37">
        <f>BZ_100!V24</f>
        <v>0</v>
      </c>
      <c r="W26" s="70">
        <f t="shared" si="1"/>
        <v>0</v>
      </c>
      <c r="X26" s="71" t="e">
        <f t="shared" si="2"/>
        <v>#DIV/0!</v>
      </c>
      <c r="Y26" s="72" t="e">
        <f t="shared" si="4"/>
        <v>#DIV/0!</v>
      </c>
      <c r="Z26" s="72" t="e">
        <f t="shared" si="5"/>
        <v>#DIV/0!</v>
      </c>
      <c r="AA26" s="72" t="e">
        <f t="shared" si="6"/>
        <v>#DIV/0!</v>
      </c>
      <c r="AB26" s="73">
        <v>23</v>
      </c>
      <c r="AC26" s="74">
        <f t="shared" si="7"/>
        <v>0</v>
      </c>
      <c r="AD26" s="86">
        <f t="shared" si="0"/>
        <v>0</v>
      </c>
      <c r="AE26" s="74">
        <f t="shared" si="3"/>
        <v>0</v>
      </c>
      <c r="AF26" s="75">
        <f t="shared" si="8"/>
        <v>0</v>
      </c>
      <c r="AG26" s="75">
        <f t="shared" si="9"/>
        <v>0</v>
      </c>
      <c r="AH26" s="82">
        <f t="shared" si="15"/>
        <v>0</v>
      </c>
      <c r="AI26" s="93">
        <f t="shared" si="10"/>
        <v>0</v>
      </c>
      <c r="AJ26" s="92">
        <f t="shared" si="11"/>
        <v>0</v>
      </c>
      <c r="AK26" s="82">
        <f t="shared" si="12"/>
        <v>0</v>
      </c>
      <c r="AL26" s="82">
        <f t="shared" si="13"/>
        <v>0</v>
      </c>
      <c r="AM26" s="93">
        <f t="shared" si="14"/>
        <v>0</v>
      </c>
      <c r="AN26" s="16"/>
      <c r="AO26" s="100"/>
      <c r="AP26" s="100"/>
    </row>
    <row r="27" spans="1:42">
      <c r="A27" s="23">
        <f>BZ_100!A25</f>
        <v>0</v>
      </c>
      <c r="B27" s="27">
        <f>BZ_100!B25</f>
        <v>0</v>
      </c>
      <c r="C27" s="27">
        <f>BZ_100!C25</f>
        <v>0</v>
      </c>
      <c r="D27" s="27">
        <f>BZ_100!D25</f>
        <v>0</v>
      </c>
      <c r="E27" s="27">
        <f>BZ_100!E25</f>
        <v>0</v>
      </c>
      <c r="F27" s="27">
        <f>BZ_100!F25</f>
        <v>0</v>
      </c>
      <c r="G27" s="24">
        <f>BZ_100!G25</f>
        <v>0</v>
      </c>
      <c r="H27" s="45">
        <f>BZ_100!H25</f>
        <v>0</v>
      </c>
      <c r="I27" s="26">
        <f>BZ_100!I25</f>
        <v>0</v>
      </c>
      <c r="J27" s="27">
        <f>BZ_100!J25</f>
        <v>0</v>
      </c>
      <c r="K27" s="27">
        <f>BZ_100!K25</f>
        <v>0</v>
      </c>
      <c r="L27" s="25">
        <f>BZ_100!L25</f>
        <v>0</v>
      </c>
      <c r="M27" s="25">
        <f>BZ_100!M25</f>
        <v>0</v>
      </c>
      <c r="N27" s="25">
        <f>BZ_100!N25</f>
        <v>0</v>
      </c>
      <c r="O27" s="25">
        <f>BZ_100!O25</f>
        <v>0</v>
      </c>
      <c r="P27" s="25">
        <f>BZ_100!P25</f>
        <v>0</v>
      </c>
      <c r="Q27" s="25">
        <f>BZ_100!Q25</f>
        <v>0</v>
      </c>
      <c r="R27" s="27">
        <f>BZ_100!R25</f>
        <v>0</v>
      </c>
      <c r="S27" s="25">
        <f>BZ_100!S25</f>
        <v>0</v>
      </c>
      <c r="T27" s="25">
        <f>BZ_100!T25</f>
        <v>0</v>
      </c>
      <c r="U27" s="36">
        <f>BZ_100!U25</f>
        <v>0</v>
      </c>
      <c r="V27" s="37">
        <f>BZ_100!V25</f>
        <v>0</v>
      </c>
      <c r="W27" s="70">
        <f t="shared" si="1"/>
        <v>0</v>
      </c>
      <c r="X27" s="71" t="e">
        <f t="shared" si="2"/>
        <v>#DIV/0!</v>
      </c>
      <c r="Y27" s="72" t="e">
        <f t="shared" si="4"/>
        <v>#DIV/0!</v>
      </c>
      <c r="Z27" s="72" t="e">
        <f t="shared" si="5"/>
        <v>#DIV/0!</v>
      </c>
      <c r="AA27" s="72" t="e">
        <f t="shared" si="6"/>
        <v>#DIV/0!</v>
      </c>
      <c r="AB27" s="73">
        <v>24</v>
      </c>
      <c r="AC27" s="74">
        <f t="shared" si="7"/>
        <v>0</v>
      </c>
      <c r="AD27" s="86">
        <f t="shared" si="0"/>
        <v>0</v>
      </c>
      <c r="AE27" s="74">
        <f t="shared" si="3"/>
        <v>0</v>
      </c>
      <c r="AF27" s="75">
        <f t="shared" si="8"/>
        <v>0</v>
      </c>
      <c r="AG27" s="75">
        <f t="shared" si="9"/>
        <v>0</v>
      </c>
      <c r="AH27" s="82">
        <f t="shared" si="15"/>
        <v>0</v>
      </c>
      <c r="AI27" s="93">
        <f t="shared" si="10"/>
        <v>0</v>
      </c>
      <c r="AJ27" s="92">
        <f t="shared" si="11"/>
        <v>0</v>
      </c>
      <c r="AK27" s="82">
        <f t="shared" si="12"/>
        <v>0</v>
      </c>
      <c r="AL27" s="82">
        <f t="shared" si="13"/>
        <v>0</v>
      </c>
      <c r="AM27" s="93">
        <f t="shared" si="14"/>
        <v>0</v>
      </c>
      <c r="AN27" s="16"/>
      <c r="AO27" s="100"/>
      <c r="AP27" s="100"/>
    </row>
    <row r="28" spans="1:42">
      <c r="A28" s="23">
        <f>BZ_100!A26</f>
        <v>0</v>
      </c>
      <c r="B28" s="27">
        <f>BZ_100!B26</f>
        <v>0</v>
      </c>
      <c r="C28" s="27">
        <f>BZ_100!C26</f>
        <v>0</v>
      </c>
      <c r="D28" s="27">
        <f>BZ_100!D26</f>
        <v>0</v>
      </c>
      <c r="E28" s="27">
        <f>BZ_100!E26</f>
        <v>0</v>
      </c>
      <c r="F28" s="27">
        <f>BZ_100!F26</f>
        <v>0</v>
      </c>
      <c r="G28" s="24">
        <f>BZ_100!G26</f>
        <v>0</v>
      </c>
      <c r="H28" s="45">
        <f>BZ_100!H26</f>
        <v>0</v>
      </c>
      <c r="I28" s="26">
        <f>BZ_100!I26</f>
        <v>0</v>
      </c>
      <c r="J28" s="27">
        <f>BZ_100!J26</f>
        <v>0</v>
      </c>
      <c r="K28" s="27">
        <f>BZ_100!K26</f>
        <v>0</v>
      </c>
      <c r="L28" s="25">
        <f>BZ_100!L26</f>
        <v>0</v>
      </c>
      <c r="M28" s="25">
        <f>BZ_100!M26</f>
        <v>0</v>
      </c>
      <c r="N28" s="25">
        <f>BZ_100!N26</f>
        <v>0</v>
      </c>
      <c r="O28" s="25">
        <f>BZ_100!O26</f>
        <v>0</v>
      </c>
      <c r="P28" s="25">
        <f>BZ_100!P26</f>
        <v>0</v>
      </c>
      <c r="Q28" s="25">
        <f>BZ_100!Q26</f>
        <v>0</v>
      </c>
      <c r="R28" s="27">
        <f>BZ_100!R26</f>
        <v>0</v>
      </c>
      <c r="S28" s="25">
        <f>BZ_100!S26</f>
        <v>0</v>
      </c>
      <c r="T28" s="25">
        <f>BZ_100!T26</f>
        <v>0</v>
      </c>
      <c r="U28" s="36">
        <f>BZ_100!U26</f>
        <v>0</v>
      </c>
      <c r="V28" s="37">
        <f>BZ_100!V26</f>
        <v>0</v>
      </c>
      <c r="W28" s="70">
        <f t="shared" si="1"/>
        <v>0</v>
      </c>
      <c r="X28" s="71" t="e">
        <f t="shared" si="2"/>
        <v>#DIV/0!</v>
      </c>
      <c r="Y28" s="72" t="e">
        <f t="shared" si="4"/>
        <v>#DIV/0!</v>
      </c>
      <c r="Z28" s="72" t="e">
        <f t="shared" si="5"/>
        <v>#DIV/0!</v>
      </c>
      <c r="AA28" s="72" t="e">
        <f t="shared" si="6"/>
        <v>#DIV/0!</v>
      </c>
      <c r="AB28" s="73">
        <v>25</v>
      </c>
      <c r="AC28" s="74">
        <f t="shared" si="7"/>
        <v>0</v>
      </c>
      <c r="AD28" s="86">
        <f t="shared" si="0"/>
        <v>0</v>
      </c>
      <c r="AE28" s="74">
        <f t="shared" si="3"/>
        <v>0</v>
      </c>
      <c r="AF28" s="75">
        <f t="shared" si="8"/>
        <v>0</v>
      </c>
      <c r="AG28" s="75">
        <f t="shared" si="9"/>
        <v>0</v>
      </c>
      <c r="AH28" s="82">
        <f t="shared" si="15"/>
        <v>0</v>
      </c>
      <c r="AI28" s="93">
        <f t="shared" si="10"/>
        <v>0</v>
      </c>
      <c r="AJ28" s="92">
        <f t="shared" si="11"/>
        <v>0</v>
      </c>
      <c r="AK28" s="82">
        <f t="shared" si="12"/>
        <v>0</v>
      </c>
      <c r="AL28" s="82">
        <f t="shared" si="13"/>
        <v>0</v>
      </c>
      <c r="AM28" s="93">
        <f t="shared" si="14"/>
        <v>0</v>
      </c>
      <c r="AN28" s="16"/>
      <c r="AO28" s="100"/>
      <c r="AP28" s="100"/>
    </row>
    <row r="29" spans="1:42">
      <c r="A29" s="23">
        <f>BZ_100!A27</f>
        <v>0</v>
      </c>
      <c r="B29" s="27">
        <f>BZ_100!B27</f>
        <v>0</v>
      </c>
      <c r="C29" s="27">
        <f>BZ_100!C27</f>
        <v>0</v>
      </c>
      <c r="D29" s="27">
        <f>BZ_100!D27</f>
        <v>0</v>
      </c>
      <c r="E29" s="27">
        <f>BZ_100!E27</f>
        <v>0</v>
      </c>
      <c r="F29" s="27">
        <f>BZ_100!F27</f>
        <v>0</v>
      </c>
      <c r="G29" s="24">
        <f>BZ_100!G27</f>
        <v>0</v>
      </c>
      <c r="H29" s="45">
        <f>BZ_100!H27</f>
        <v>0</v>
      </c>
      <c r="I29" s="26">
        <f>BZ_100!I27</f>
        <v>0</v>
      </c>
      <c r="J29" s="27">
        <f>BZ_100!J27</f>
        <v>0</v>
      </c>
      <c r="K29" s="27">
        <f>BZ_100!K27</f>
        <v>0</v>
      </c>
      <c r="L29" s="25">
        <f>BZ_100!L27</f>
        <v>0</v>
      </c>
      <c r="M29" s="25">
        <f>BZ_100!M27</f>
        <v>0</v>
      </c>
      <c r="N29" s="25">
        <f>BZ_100!N27</f>
        <v>0</v>
      </c>
      <c r="O29" s="25">
        <f>BZ_100!O27</f>
        <v>0</v>
      </c>
      <c r="P29" s="25">
        <f>BZ_100!P27</f>
        <v>0</v>
      </c>
      <c r="Q29" s="25">
        <f>BZ_100!Q27</f>
        <v>0</v>
      </c>
      <c r="R29" s="27">
        <f>BZ_100!R27</f>
        <v>0</v>
      </c>
      <c r="S29" s="25">
        <f>BZ_100!S27</f>
        <v>0</v>
      </c>
      <c r="T29" s="25">
        <f>BZ_100!T27</f>
        <v>0</v>
      </c>
      <c r="U29" s="36">
        <f>BZ_100!U27</f>
        <v>0</v>
      </c>
      <c r="V29" s="37">
        <f>BZ_100!V27</f>
        <v>0</v>
      </c>
      <c r="W29" s="70">
        <f t="shared" si="1"/>
        <v>0</v>
      </c>
      <c r="X29" s="71" t="e">
        <f t="shared" si="2"/>
        <v>#DIV/0!</v>
      </c>
      <c r="Y29" s="72" t="e">
        <f t="shared" si="4"/>
        <v>#DIV/0!</v>
      </c>
      <c r="Z29" s="72" t="e">
        <f t="shared" si="5"/>
        <v>#DIV/0!</v>
      </c>
      <c r="AA29" s="72" t="e">
        <f t="shared" si="6"/>
        <v>#DIV/0!</v>
      </c>
      <c r="AB29" s="73">
        <v>26</v>
      </c>
      <c r="AC29" s="74">
        <f t="shared" si="7"/>
        <v>0</v>
      </c>
      <c r="AD29" s="86">
        <f t="shared" si="0"/>
        <v>0</v>
      </c>
      <c r="AE29" s="74">
        <f t="shared" si="3"/>
        <v>0</v>
      </c>
      <c r="AF29" s="75">
        <f t="shared" si="8"/>
        <v>0</v>
      </c>
      <c r="AG29" s="75">
        <f t="shared" si="9"/>
        <v>0</v>
      </c>
      <c r="AH29" s="82">
        <f t="shared" si="15"/>
        <v>0</v>
      </c>
      <c r="AI29" s="93">
        <f t="shared" si="10"/>
        <v>0</v>
      </c>
      <c r="AJ29" s="92">
        <f t="shared" si="11"/>
        <v>0</v>
      </c>
      <c r="AK29" s="82">
        <f t="shared" si="12"/>
        <v>0</v>
      </c>
      <c r="AL29" s="82">
        <f t="shared" si="13"/>
        <v>0</v>
      </c>
      <c r="AM29" s="93">
        <f t="shared" si="14"/>
        <v>0</v>
      </c>
      <c r="AN29" s="16"/>
      <c r="AO29" s="100"/>
      <c r="AP29" s="100"/>
    </row>
    <row r="30" spans="1:42">
      <c r="A30" s="23">
        <f>BZ_100!A28</f>
        <v>0</v>
      </c>
      <c r="B30" s="27">
        <f>BZ_100!B28</f>
        <v>0</v>
      </c>
      <c r="C30" s="27">
        <f>BZ_100!C28</f>
        <v>0</v>
      </c>
      <c r="D30" s="27">
        <f>BZ_100!D28</f>
        <v>0</v>
      </c>
      <c r="E30" s="27">
        <f>BZ_100!E28</f>
        <v>0</v>
      </c>
      <c r="F30" s="27">
        <f>BZ_100!F28</f>
        <v>0</v>
      </c>
      <c r="G30" s="24">
        <f>BZ_100!G28</f>
        <v>0</v>
      </c>
      <c r="H30" s="45">
        <f>BZ_100!H28</f>
        <v>0</v>
      </c>
      <c r="I30" s="26">
        <f>BZ_100!I28</f>
        <v>0</v>
      </c>
      <c r="J30" s="27">
        <f>BZ_100!J28</f>
        <v>0</v>
      </c>
      <c r="K30" s="27">
        <f>BZ_100!K28</f>
        <v>0</v>
      </c>
      <c r="L30" s="25">
        <f>BZ_100!L28</f>
        <v>0</v>
      </c>
      <c r="M30" s="25">
        <f>BZ_100!M28</f>
        <v>0</v>
      </c>
      <c r="N30" s="25">
        <f>BZ_100!N28</f>
        <v>0</v>
      </c>
      <c r="O30" s="25">
        <f>BZ_100!O28</f>
        <v>0</v>
      </c>
      <c r="P30" s="25">
        <f>BZ_100!P28</f>
        <v>0</v>
      </c>
      <c r="Q30" s="25">
        <f>BZ_100!Q28</f>
        <v>0</v>
      </c>
      <c r="R30" s="27">
        <f>BZ_100!R28</f>
        <v>0</v>
      </c>
      <c r="S30" s="25">
        <f>BZ_100!S28</f>
        <v>0</v>
      </c>
      <c r="T30" s="25">
        <f>BZ_100!T28</f>
        <v>0</v>
      </c>
      <c r="U30" s="36">
        <f>BZ_100!U28</f>
        <v>0</v>
      </c>
      <c r="V30" s="37">
        <f>BZ_100!V28</f>
        <v>0</v>
      </c>
      <c r="W30" s="70">
        <f t="shared" si="1"/>
        <v>0</v>
      </c>
      <c r="X30" s="71" t="e">
        <f t="shared" si="2"/>
        <v>#DIV/0!</v>
      </c>
      <c r="Y30" s="72" t="e">
        <f t="shared" si="4"/>
        <v>#DIV/0!</v>
      </c>
      <c r="Z30" s="72" t="e">
        <f t="shared" si="5"/>
        <v>#DIV/0!</v>
      </c>
      <c r="AA30" s="72" t="e">
        <f t="shared" si="6"/>
        <v>#DIV/0!</v>
      </c>
      <c r="AB30" s="73">
        <v>27</v>
      </c>
      <c r="AC30" s="74">
        <f t="shared" si="7"/>
        <v>0</v>
      </c>
      <c r="AD30" s="86">
        <f t="shared" si="0"/>
        <v>0</v>
      </c>
      <c r="AE30" s="74">
        <f t="shared" si="3"/>
        <v>0</v>
      </c>
      <c r="AF30" s="75">
        <f t="shared" si="8"/>
        <v>0</v>
      </c>
      <c r="AG30" s="75">
        <f t="shared" si="9"/>
        <v>0</v>
      </c>
      <c r="AH30" s="82">
        <f t="shared" si="15"/>
        <v>0</v>
      </c>
      <c r="AI30" s="93">
        <f t="shared" si="10"/>
        <v>0</v>
      </c>
      <c r="AJ30" s="92">
        <f t="shared" si="11"/>
        <v>0</v>
      </c>
      <c r="AK30" s="82">
        <f t="shared" si="12"/>
        <v>0</v>
      </c>
      <c r="AL30" s="82">
        <f t="shared" si="13"/>
        <v>0</v>
      </c>
      <c r="AM30" s="93">
        <f t="shared" si="14"/>
        <v>0</v>
      </c>
      <c r="AN30" s="16"/>
      <c r="AO30" s="100"/>
      <c r="AP30" s="100"/>
    </row>
    <row r="31" spans="1:42">
      <c r="A31" s="23">
        <f>BZ_100!A29</f>
        <v>0</v>
      </c>
      <c r="B31" s="27">
        <f>BZ_100!B29</f>
        <v>0</v>
      </c>
      <c r="C31" s="27">
        <f>BZ_100!C29</f>
        <v>0</v>
      </c>
      <c r="D31" s="27">
        <f>BZ_100!D29</f>
        <v>0</v>
      </c>
      <c r="E31" s="27">
        <f>BZ_100!E29</f>
        <v>0</v>
      </c>
      <c r="F31" s="27">
        <f>BZ_100!F29</f>
        <v>0</v>
      </c>
      <c r="G31" s="24">
        <f>BZ_100!G29</f>
        <v>0</v>
      </c>
      <c r="H31" s="45">
        <f>BZ_100!H29</f>
        <v>0</v>
      </c>
      <c r="I31" s="26">
        <f>BZ_100!I29</f>
        <v>0</v>
      </c>
      <c r="J31" s="27">
        <f>BZ_100!J29</f>
        <v>0</v>
      </c>
      <c r="K31" s="27">
        <f>BZ_100!K29</f>
        <v>0</v>
      </c>
      <c r="L31" s="25">
        <f>BZ_100!L29</f>
        <v>0</v>
      </c>
      <c r="M31" s="25">
        <f>BZ_100!M29</f>
        <v>0</v>
      </c>
      <c r="N31" s="25">
        <f>BZ_100!N29</f>
        <v>0</v>
      </c>
      <c r="O31" s="25">
        <f>BZ_100!O29</f>
        <v>0</v>
      </c>
      <c r="P31" s="25">
        <f>BZ_100!P29</f>
        <v>0</v>
      </c>
      <c r="Q31" s="25">
        <f>BZ_100!Q29</f>
        <v>0</v>
      </c>
      <c r="R31" s="27">
        <f>BZ_100!R29</f>
        <v>0</v>
      </c>
      <c r="S31" s="25">
        <f>BZ_100!S29</f>
        <v>0</v>
      </c>
      <c r="T31" s="25">
        <f>BZ_100!T29</f>
        <v>0</v>
      </c>
      <c r="U31" s="36">
        <f>BZ_100!U29</f>
        <v>0</v>
      </c>
      <c r="V31" s="37">
        <f>BZ_100!V29</f>
        <v>0</v>
      </c>
      <c r="W31" s="70">
        <f t="shared" si="1"/>
        <v>0</v>
      </c>
      <c r="X31" s="71" t="e">
        <f t="shared" si="2"/>
        <v>#DIV/0!</v>
      </c>
      <c r="Y31" s="72" t="e">
        <f t="shared" si="4"/>
        <v>#DIV/0!</v>
      </c>
      <c r="Z31" s="72" t="e">
        <f t="shared" si="5"/>
        <v>#DIV/0!</v>
      </c>
      <c r="AA31" s="72" t="e">
        <f t="shared" si="6"/>
        <v>#DIV/0!</v>
      </c>
      <c r="AB31" s="73">
        <v>28</v>
      </c>
      <c r="AC31" s="74">
        <f t="shared" si="7"/>
        <v>0</v>
      </c>
      <c r="AD31" s="86">
        <f t="shared" si="0"/>
        <v>0</v>
      </c>
      <c r="AE31" s="74">
        <f t="shared" si="3"/>
        <v>0</v>
      </c>
      <c r="AF31" s="75">
        <f t="shared" si="8"/>
        <v>0</v>
      </c>
      <c r="AG31" s="75">
        <f t="shared" si="9"/>
        <v>0</v>
      </c>
      <c r="AH31" s="82">
        <f t="shared" si="15"/>
        <v>0</v>
      </c>
      <c r="AI31" s="93">
        <f t="shared" si="10"/>
        <v>0</v>
      </c>
      <c r="AJ31" s="92">
        <f t="shared" si="11"/>
        <v>0</v>
      </c>
      <c r="AK31" s="82">
        <f t="shared" si="12"/>
        <v>0</v>
      </c>
      <c r="AL31" s="82">
        <f t="shared" si="13"/>
        <v>0</v>
      </c>
      <c r="AM31" s="93">
        <f t="shared" si="14"/>
        <v>0</v>
      </c>
      <c r="AN31" s="16"/>
      <c r="AO31" s="100"/>
      <c r="AP31" s="100"/>
    </row>
    <row r="32" spans="1:42">
      <c r="A32" s="23">
        <f>BZ_100!A30</f>
        <v>0</v>
      </c>
      <c r="B32" s="27">
        <f>BZ_100!B30</f>
        <v>0</v>
      </c>
      <c r="C32" s="27">
        <f>BZ_100!C30</f>
        <v>0</v>
      </c>
      <c r="D32" s="27">
        <f>BZ_100!D30</f>
        <v>0</v>
      </c>
      <c r="E32" s="27">
        <f>BZ_100!E30</f>
        <v>0</v>
      </c>
      <c r="F32" s="27">
        <f>BZ_100!F30</f>
        <v>0</v>
      </c>
      <c r="G32" s="24">
        <f>BZ_100!G30</f>
        <v>0</v>
      </c>
      <c r="H32" s="45">
        <f>BZ_100!H30</f>
        <v>0</v>
      </c>
      <c r="I32" s="26">
        <f>BZ_100!I30</f>
        <v>0</v>
      </c>
      <c r="J32" s="27">
        <f>BZ_100!J30</f>
        <v>0</v>
      </c>
      <c r="K32" s="27">
        <f>BZ_100!K30</f>
        <v>0</v>
      </c>
      <c r="L32" s="25">
        <f>BZ_100!L30</f>
        <v>0</v>
      </c>
      <c r="M32" s="25">
        <f>BZ_100!M30</f>
        <v>0</v>
      </c>
      <c r="N32" s="25">
        <f>BZ_100!N30</f>
        <v>0</v>
      </c>
      <c r="O32" s="25">
        <f>BZ_100!O30</f>
        <v>0</v>
      </c>
      <c r="P32" s="25">
        <f>BZ_100!P30</f>
        <v>0</v>
      </c>
      <c r="Q32" s="25">
        <f>BZ_100!Q30</f>
        <v>0</v>
      </c>
      <c r="R32" s="27">
        <f>BZ_100!R30</f>
        <v>0</v>
      </c>
      <c r="S32" s="25">
        <f>BZ_100!S30</f>
        <v>0</v>
      </c>
      <c r="T32" s="25">
        <f>BZ_100!T30</f>
        <v>0</v>
      </c>
      <c r="U32" s="36">
        <f>BZ_100!U30</f>
        <v>0</v>
      </c>
      <c r="V32" s="37">
        <f>BZ_100!V30</f>
        <v>0</v>
      </c>
      <c r="W32" s="70">
        <f t="shared" si="1"/>
        <v>0</v>
      </c>
      <c r="X32" s="71" t="e">
        <f t="shared" si="2"/>
        <v>#DIV/0!</v>
      </c>
      <c r="Y32" s="72" t="e">
        <f t="shared" si="4"/>
        <v>#DIV/0!</v>
      </c>
      <c r="Z32" s="72" t="e">
        <f t="shared" si="5"/>
        <v>#DIV/0!</v>
      </c>
      <c r="AA32" s="72" t="e">
        <f t="shared" si="6"/>
        <v>#DIV/0!</v>
      </c>
      <c r="AB32" s="73">
        <v>29</v>
      </c>
      <c r="AC32" s="74">
        <f t="shared" si="7"/>
        <v>0</v>
      </c>
      <c r="AD32" s="86">
        <f t="shared" si="0"/>
        <v>0</v>
      </c>
      <c r="AE32" s="74">
        <f t="shared" si="3"/>
        <v>0</v>
      </c>
      <c r="AF32" s="75">
        <f t="shared" si="8"/>
        <v>0</v>
      </c>
      <c r="AG32" s="75">
        <f t="shared" si="9"/>
        <v>0</v>
      </c>
      <c r="AH32" s="82">
        <f t="shared" si="15"/>
        <v>0</v>
      </c>
      <c r="AI32" s="93">
        <f t="shared" si="10"/>
        <v>0</v>
      </c>
      <c r="AJ32" s="92">
        <f t="shared" si="11"/>
        <v>0</v>
      </c>
      <c r="AK32" s="82">
        <f t="shared" si="12"/>
        <v>0</v>
      </c>
      <c r="AL32" s="82">
        <f t="shared" si="13"/>
        <v>0</v>
      </c>
      <c r="AM32" s="93">
        <f t="shared" si="14"/>
        <v>0</v>
      </c>
      <c r="AN32" s="16"/>
      <c r="AO32" s="100"/>
      <c r="AP32" s="100"/>
    </row>
    <row r="33" spans="1:42">
      <c r="A33" s="23">
        <f>BZ_100!A31</f>
        <v>0</v>
      </c>
      <c r="B33" s="27">
        <f>BZ_100!B31</f>
        <v>0</v>
      </c>
      <c r="C33" s="27">
        <f>BZ_100!C31</f>
        <v>0</v>
      </c>
      <c r="D33" s="27">
        <f>BZ_100!D31</f>
        <v>0</v>
      </c>
      <c r="E33" s="27">
        <f>BZ_100!E31</f>
        <v>0</v>
      </c>
      <c r="F33" s="27">
        <f>BZ_100!F31</f>
        <v>0</v>
      </c>
      <c r="G33" s="24">
        <f>BZ_100!G31</f>
        <v>0</v>
      </c>
      <c r="H33" s="45">
        <f>BZ_100!H31</f>
        <v>0</v>
      </c>
      <c r="I33" s="26">
        <f>BZ_100!I31</f>
        <v>0</v>
      </c>
      <c r="J33" s="27">
        <f>BZ_100!J31</f>
        <v>0</v>
      </c>
      <c r="K33" s="27">
        <f>BZ_100!K31</f>
        <v>0</v>
      </c>
      <c r="L33" s="25">
        <f>BZ_100!L31</f>
        <v>0</v>
      </c>
      <c r="M33" s="25">
        <f>BZ_100!M31</f>
        <v>0</v>
      </c>
      <c r="N33" s="25">
        <f>BZ_100!N31</f>
        <v>0</v>
      </c>
      <c r="O33" s="25">
        <f>BZ_100!O31</f>
        <v>0</v>
      </c>
      <c r="P33" s="25">
        <f>BZ_100!P31</f>
        <v>0</v>
      </c>
      <c r="Q33" s="25">
        <f>BZ_100!Q31</f>
        <v>0</v>
      </c>
      <c r="R33" s="27">
        <f>BZ_100!R31</f>
        <v>0</v>
      </c>
      <c r="S33" s="25">
        <f>BZ_100!S31</f>
        <v>0</v>
      </c>
      <c r="T33" s="25">
        <f>BZ_100!T31</f>
        <v>0</v>
      </c>
      <c r="U33" s="36">
        <f>BZ_100!U31</f>
        <v>0</v>
      </c>
      <c r="V33" s="37">
        <f>BZ_100!V31</f>
        <v>0</v>
      </c>
      <c r="W33" s="70">
        <f t="shared" si="1"/>
        <v>0</v>
      </c>
      <c r="X33" s="71" t="e">
        <f t="shared" si="2"/>
        <v>#DIV/0!</v>
      </c>
      <c r="Y33" s="72" t="e">
        <f t="shared" si="4"/>
        <v>#DIV/0!</v>
      </c>
      <c r="Z33" s="72" t="e">
        <f t="shared" si="5"/>
        <v>#DIV/0!</v>
      </c>
      <c r="AA33" s="72" t="e">
        <f t="shared" si="6"/>
        <v>#DIV/0!</v>
      </c>
      <c r="AB33" s="73">
        <v>30</v>
      </c>
      <c r="AC33" s="74">
        <f t="shared" si="7"/>
        <v>0</v>
      </c>
      <c r="AD33" s="86">
        <f t="shared" si="0"/>
        <v>0</v>
      </c>
      <c r="AE33" s="74">
        <f t="shared" si="3"/>
        <v>0</v>
      </c>
      <c r="AF33" s="75">
        <f t="shared" si="8"/>
        <v>0</v>
      </c>
      <c r="AG33" s="75">
        <f t="shared" si="9"/>
        <v>0</v>
      </c>
      <c r="AH33" s="82">
        <f t="shared" si="15"/>
        <v>0</v>
      </c>
      <c r="AI33" s="93">
        <f t="shared" si="10"/>
        <v>0</v>
      </c>
      <c r="AJ33" s="92">
        <f t="shared" si="11"/>
        <v>0</v>
      </c>
      <c r="AK33" s="82">
        <f t="shared" si="12"/>
        <v>0</v>
      </c>
      <c r="AL33" s="82">
        <f t="shared" si="13"/>
        <v>0</v>
      </c>
      <c r="AM33" s="93">
        <f t="shared" si="14"/>
        <v>0</v>
      </c>
      <c r="AN33" s="16"/>
      <c r="AO33" s="100"/>
      <c r="AP33" s="100"/>
    </row>
    <row r="34" spans="1:42">
      <c r="A34" s="23">
        <f>BZ_100!A32</f>
        <v>0</v>
      </c>
      <c r="B34" s="27">
        <f>BZ_100!B32</f>
        <v>0</v>
      </c>
      <c r="C34" s="27">
        <f>BZ_100!C32</f>
        <v>0</v>
      </c>
      <c r="D34" s="27">
        <f>BZ_100!D32</f>
        <v>0</v>
      </c>
      <c r="E34" s="27">
        <f>BZ_100!E32</f>
        <v>0</v>
      </c>
      <c r="F34" s="27">
        <f>BZ_100!F32</f>
        <v>0</v>
      </c>
      <c r="G34" s="24">
        <f>BZ_100!G32</f>
        <v>0</v>
      </c>
      <c r="H34" s="45">
        <f>BZ_100!H32</f>
        <v>0</v>
      </c>
      <c r="I34" s="26">
        <f>BZ_100!I32</f>
        <v>0</v>
      </c>
      <c r="J34" s="27">
        <f>BZ_100!J32</f>
        <v>0</v>
      </c>
      <c r="K34" s="27">
        <f>BZ_100!K32</f>
        <v>0</v>
      </c>
      <c r="L34" s="25">
        <f>BZ_100!L32</f>
        <v>0</v>
      </c>
      <c r="M34" s="25">
        <f>BZ_100!M32</f>
        <v>0</v>
      </c>
      <c r="N34" s="25">
        <f>BZ_100!N32</f>
        <v>0</v>
      </c>
      <c r="O34" s="25">
        <f>BZ_100!O32</f>
        <v>0</v>
      </c>
      <c r="P34" s="25">
        <f>BZ_100!P32</f>
        <v>0</v>
      </c>
      <c r="Q34" s="25">
        <f>BZ_100!Q32</f>
        <v>0</v>
      </c>
      <c r="R34" s="27">
        <f>BZ_100!R32</f>
        <v>0</v>
      </c>
      <c r="S34" s="25">
        <f>BZ_100!S32</f>
        <v>0</v>
      </c>
      <c r="T34" s="25">
        <f>BZ_100!T32</f>
        <v>0</v>
      </c>
      <c r="U34" s="36">
        <f>BZ_100!U32</f>
        <v>0</v>
      </c>
      <c r="V34" s="37">
        <f>BZ_100!V32</f>
        <v>0</v>
      </c>
      <c r="W34" s="70">
        <f t="shared" si="1"/>
        <v>0</v>
      </c>
      <c r="X34" s="71" t="e">
        <f t="shared" si="2"/>
        <v>#DIV/0!</v>
      </c>
      <c r="Y34" s="72" t="e">
        <f t="shared" si="4"/>
        <v>#DIV/0!</v>
      </c>
      <c r="Z34" s="72" t="e">
        <f t="shared" si="5"/>
        <v>#DIV/0!</v>
      </c>
      <c r="AA34" s="72" t="e">
        <f t="shared" si="6"/>
        <v>#DIV/0!</v>
      </c>
      <c r="AB34" s="73">
        <v>31</v>
      </c>
      <c r="AC34" s="74">
        <f t="shared" si="7"/>
        <v>0</v>
      </c>
      <c r="AD34" s="86">
        <f t="shared" si="0"/>
        <v>0</v>
      </c>
      <c r="AE34" s="74">
        <f t="shared" si="3"/>
        <v>0</v>
      </c>
      <c r="AF34" s="75">
        <f t="shared" si="8"/>
        <v>0</v>
      </c>
      <c r="AG34" s="75">
        <f t="shared" si="9"/>
        <v>0</v>
      </c>
      <c r="AH34" s="82">
        <f t="shared" si="15"/>
        <v>0</v>
      </c>
      <c r="AI34" s="93">
        <f t="shared" si="10"/>
        <v>0</v>
      </c>
      <c r="AJ34" s="92">
        <f t="shared" si="11"/>
        <v>0</v>
      </c>
      <c r="AK34" s="82">
        <f t="shared" si="12"/>
        <v>0</v>
      </c>
      <c r="AL34" s="82">
        <f t="shared" si="13"/>
        <v>0</v>
      </c>
      <c r="AM34" s="93">
        <f t="shared" si="14"/>
        <v>0</v>
      </c>
      <c r="AN34" s="16"/>
      <c r="AO34" s="100"/>
      <c r="AP34" s="100"/>
    </row>
    <row r="35" spans="1:42">
      <c r="A35" s="23">
        <f>BZ_100!A33</f>
        <v>0</v>
      </c>
      <c r="B35" s="27">
        <f>BZ_100!B33</f>
        <v>0</v>
      </c>
      <c r="C35" s="27">
        <f>BZ_100!C33</f>
        <v>0</v>
      </c>
      <c r="D35" s="27">
        <f>BZ_100!D33</f>
        <v>0</v>
      </c>
      <c r="E35" s="27">
        <f>BZ_100!E33</f>
        <v>0</v>
      </c>
      <c r="F35" s="27">
        <f>BZ_100!F33</f>
        <v>0</v>
      </c>
      <c r="G35" s="24">
        <f>BZ_100!G33</f>
        <v>0</v>
      </c>
      <c r="H35" s="45">
        <f>BZ_100!H33</f>
        <v>0</v>
      </c>
      <c r="I35" s="26">
        <f>BZ_100!I33</f>
        <v>0</v>
      </c>
      <c r="J35" s="27">
        <f>BZ_100!J33</f>
        <v>0</v>
      </c>
      <c r="K35" s="27">
        <f>BZ_100!K33</f>
        <v>0</v>
      </c>
      <c r="L35" s="25">
        <f>BZ_100!L33</f>
        <v>0</v>
      </c>
      <c r="M35" s="25">
        <f>BZ_100!M33</f>
        <v>0</v>
      </c>
      <c r="N35" s="25">
        <f>BZ_100!N33</f>
        <v>0</v>
      </c>
      <c r="O35" s="25">
        <f>BZ_100!O33</f>
        <v>0</v>
      </c>
      <c r="P35" s="25">
        <f>BZ_100!P33</f>
        <v>0</v>
      </c>
      <c r="Q35" s="25">
        <f>BZ_100!Q33</f>
        <v>0</v>
      </c>
      <c r="R35" s="27">
        <f>BZ_100!R33</f>
        <v>0</v>
      </c>
      <c r="S35" s="25">
        <f>BZ_100!S33</f>
        <v>0</v>
      </c>
      <c r="T35" s="25">
        <f>BZ_100!T33</f>
        <v>0</v>
      </c>
      <c r="U35" s="36">
        <f>BZ_100!U33</f>
        <v>0</v>
      </c>
      <c r="V35" s="37">
        <f>BZ_100!V33</f>
        <v>0</v>
      </c>
      <c r="W35" s="70">
        <f t="shared" si="1"/>
        <v>0</v>
      </c>
      <c r="X35" s="71" t="e">
        <f t="shared" si="2"/>
        <v>#DIV/0!</v>
      </c>
      <c r="Y35" s="72" t="e">
        <f t="shared" si="4"/>
        <v>#DIV/0!</v>
      </c>
      <c r="Z35" s="72" t="e">
        <f t="shared" si="5"/>
        <v>#DIV/0!</v>
      </c>
      <c r="AA35" s="72" t="e">
        <f t="shared" si="6"/>
        <v>#DIV/0!</v>
      </c>
      <c r="AB35" s="73">
        <v>32</v>
      </c>
      <c r="AC35" s="74">
        <f t="shared" si="7"/>
        <v>0</v>
      </c>
      <c r="AD35" s="86">
        <f t="shared" ref="AD35:AD66" si="16">A35</f>
        <v>0</v>
      </c>
      <c r="AE35" s="74">
        <f t="shared" si="3"/>
        <v>0</v>
      </c>
      <c r="AF35" s="75">
        <f t="shared" si="8"/>
        <v>0</v>
      </c>
      <c r="AG35" s="75">
        <f t="shared" si="9"/>
        <v>0</v>
      </c>
      <c r="AH35" s="82">
        <f t="shared" si="15"/>
        <v>0</v>
      </c>
      <c r="AI35" s="93">
        <f t="shared" si="10"/>
        <v>0</v>
      </c>
      <c r="AJ35" s="92">
        <f t="shared" si="11"/>
        <v>0</v>
      </c>
      <c r="AK35" s="82">
        <f t="shared" si="12"/>
        <v>0</v>
      </c>
      <c r="AL35" s="82">
        <f t="shared" si="13"/>
        <v>0</v>
      </c>
      <c r="AM35" s="93">
        <f t="shared" si="14"/>
        <v>0</v>
      </c>
      <c r="AN35" s="16"/>
      <c r="AO35" s="100"/>
      <c r="AP35" s="100"/>
    </row>
    <row r="36" spans="1:42">
      <c r="A36" s="23">
        <f>BZ_100!A34</f>
        <v>0</v>
      </c>
      <c r="B36" s="27">
        <f>BZ_100!B34</f>
        <v>0</v>
      </c>
      <c r="C36" s="27">
        <f>BZ_100!C34</f>
        <v>0</v>
      </c>
      <c r="D36" s="27">
        <f>BZ_100!D34</f>
        <v>0</v>
      </c>
      <c r="E36" s="27">
        <f>BZ_100!E34</f>
        <v>0</v>
      </c>
      <c r="F36" s="27">
        <f>BZ_100!F34</f>
        <v>0</v>
      </c>
      <c r="G36" s="24">
        <f>BZ_100!G34</f>
        <v>0</v>
      </c>
      <c r="H36" s="45">
        <f>BZ_100!H34</f>
        <v>0</v>
      </c>
      <c r="I36" s="26">
        <f>BZ_100!I34</f>
        <v>0</v>
      </c>
      <c r="J36" s="27">
        <f>BZ_100!J34</f>
        <v>0</v>
      </c>
      <c r="K36" s="27">
        <f>BZ_100!K34</f>
        <v>0</v>
      </c>
      <c r="L36" s="25">
        <f>BZ_100!L34</f>
        <v>0</v>
      </c>
      <c r="M36" s="25">
        <f>BZ_100!M34</f>
        <v>0</v>
      </c>
      <c r="N36" s="25">
        <f>BZ_100!N34</f>
        <v>0</v>
      </c>
      <c r="O36" s="25">
        <f>BZ_100!O34</f>
        <v>0</v>
      </c>
      <c r="P36" s="25">
        <f>BZ_100!P34</f>
        <v>0</v>
      </c>
      <c r="Q36" s="25">
        <f>BZ_100!Q34</f>
        <v>0</v>
      </c>
      <c r="R36" s="27">
        <f>BZ_100!R34</f>
        <v>0</v>
      </c>
      <c r="S36" s="25">
        <f>BZ_100!S34</f>
        <v>0</v>
      </c>
      <c r="T36" s="25">
        <f>BZ_100!T34</f>
        <v>0</v>
      </c>
      <c r="U36" s="36">
        <f>BZ_100!U34</f>
        <v>0</v>
      </c>
      <c r="V36" s="37">
        <f>BZ_100!V34</f>
        <v>0</v>
      </c>
      <c r="W36" s="70">
        <f t="shared" ref="W36:W67" si="17">A36</f>
        <v>0</v>
      </c>
      <c r="X36" s="71" t="e">
        <f t="shared" ref="X36:X67" si="18">R36/G36</f>
        <v>#DIV/0!</v>
      </c>
      <c r="Y36" s="72" t="e">
        <f t="shared" si="4"/>
        <v>#DIV/0!</v>
      </c>
      <c r="Z36" s="72" t="e">
        <f t="shared" si="5"/>
        <v>#DIV/0!</v>
      </c>
      <c r="AA36" s="72" t="e">
        <f t="shared" si="6"/>
        <v>#DIV/0!</v>
      </c>
      <c r="AB36" s="73">
        <v>33</v>
      </c>
      <c r="AC36" s="74">
        <f t="shared" si="7"/>
        <v>0</v>
      </c>
      <c r="AD36" s="86">
        <f t="shared" si="16"/>
        <v>0</v>
      </c>
      <c r="AE36" s="74">
        <f t="shared" ref="AE36:AE67" si="19">B36</f>
        <v>0</v>
      </c>
      <c r="AF36" s="75">
        <f t="shared" si="8"/>
        <v>0</v>
      </c>
      <c r="AG36" s="75">
        <f t="shared" si="9"/>
        <v>0</v>
      </c>
      <c r="AH36" s="82">
        <f t="shared" si="15"/>
        <v>0</v>
      </c>
      <c r="AI36" s="93">
        <f t="shared" si="10"/>
        <v>0</v>
      </c>
      <c r="AJ36" s="92">
        <f t="shared" si="11"/>
        <v>0</v>
      </c>
      <c r="AK36" s="82">
        <f t="shared" si="12"/>
        <v>0</v>
      </c>
      <c r="AL36" s="82">
        <f t="shared" si="13"/>
        <v>0</v>
      </c>
      <c r="AM36" s="93">
        <f t="shared" si="14"/>
        <v>0</v>
      </c>
      <c r="AN36" s="16"/>
      <c r="AO36" s="100"/>
      <c r="AP36" s="100"/>
    </row>
    <row r="37" spans="1:42">
      <c r="A37" s="23">
        <f>BZ_100!A35</f>
        <v>0</v>
      </c>
      <c r="B37" s="27">
        <f>BZ_100!B35</f>
        <v>0</v>
      </c>
      <c r="C37" s="27">
        <f>BZ_100!C35</f>
        <v>0</v>
      </c>
      <c r="D37" s="27">
        <f>BZ_100!D35</f>
        <v>0</v>
      </c>
      <c r="E37" s="27">
        <f>BZ_100!E35</f>
        <v>0</v>
      </c>
      <c r="F37" s="27">
        <f>BZ_100!F35</f>
        <v>0</v>
      </c>
      <c r="G37" s="24">
        <f>BZ_100!G35</f>
        <v>0</v>
      </c>
      <c r="H37" s="45">
        <f>BZ_100!H35</f>
        <v>0</v>
      </c>
      <c r="I37" s="26">
        <f>BZ_100!I35</f>
        <v>0</v>
      </c>
      <c r="J37" s="27">
        <f>BZ_100!J35</f>
        <v>0</v>
      </c>
      <c r="K37" s="27">
        <f>BZ_100!K35</f>
        <v>0</v>
      </c>
      <c r="L37" s="25">
        <f>BZ_100!L35</f>
        <v>0</v>
      </c>
      <c r="M37" s="25">
        <f>BZ_100!M35</f>
        <v>0</v>
      </c>
      <c r="N37" s="25">
        <f>BZ_100!N35</f>
        <v>0</v>
      </c>
      <c r="O37" s="25">
        <f>BZ_100!O35</f>
        <v>0</v>
      </c>
      <c r="P37" s="25">
        <f>BZ_100!P35</f>
        <v>0</v>
      </c>
      <c r="Q37" s="25">
        <f>BZ_100!Q35</f>
        <v>0</v>
      </c>
      <c r="R37" s="27">
        <f>BZ_100!R35</f>
        <v>0</v>
      </c>
      <c r="S37" s="25">
        <f>BZ_100!S35</f>
        <v>0</v>
      </c>
      <c r="T37" s="25">
        <f>BZ_100!T35</f>
        <v>0</v>
      </c>
      <c r="U37" s="36">
        <f>BZ_100!U35</f>
        <v>0</v>
      </c>
      <c r="V37" s="37">
        <f>BZ_100!V35</f>
        <v>0</v>
      </c>
      <c r="W37" s="70">
        <f t="shared" si="17"/>
        <v>0</v>
      </c>
      <c r="X37" s="71" t="e">
        <f t="shared" si="18"/>
        <v>#DIV/0!</v>
      </c>
      <c r="Y37" s="72" t="e">
        <f t="shared" si="4"/>
        <v>#DIV/0!</v>
      </c>
      <c r="Z37" s="72" t="e">
        <f t="shared" si="5"/>
        <v>#DIV/0!</v>
      </c>
      <c r="AA37" s="72" t="e">
        <f t="shared" si="6"/>
        <v>#DIV/0!</v>
      </c>
      <c r="AB37" s="73">
        <v>34</v>
      </c>
      <c r="AC37" s="74">
        <f t="shared" si="7"/>
        <v>0</v>
      </c>
      <c r="AD37" s="86">
        <f t="shared" si="16"/>
        <v>0</v>
      </c>
      <c r="AE37" s="74">
        <f t="shared" si="19"/>
        <v>0</v>
      </c>
      <c r="AF37" s="75">
        <f t="shared" si="8"/>
        <v>0</v>
      </c>
      <c r="AG37" s="75">
        <f t="shared" si="9"/>
        <v>0</v>
      </c>
      <c r="AH37" s="82">
        <f t="shared" si="15"/>
        <v>0</v>
      </c>
      <c r="AI37" s="93">
        <f t="shared" si="10"/>
        <v>0</v>
      </c>
      <c r="AJ37" s="92">
        <f t="shared" si="11"/>
        <v>0</v>
      </c>
      <c r="AK37" s="82">
        <f t="shared" si="12"/>
        <v>0</v>
      </c>
      <c r="AL37" s="82">
        <f t="shared" si="13"/>
        <v>0</v>
      </c>
      <c r="AM37" s="93">
        <f t="shared" si="14"/>
        <v>0</v>
      </c>
      <c r="AN37" s="16"/>
      <c r="AO37" s="100"/>
      <c r="AP37" s="100"/>
    </row>
    <row r="38" spans="1:42">
      <c r="A38" s="23">
        <f>BZ_100!A36</f>
        <v>0</v>
      </c>
      <c r="B38" s="27">
        <f>BZ_100!B36</f>
        <v>0</v>
      </c>
      <c r="C38" s="27">
        <f>BZ_100!C36</f>
        <v>0</v>
      </c>
      <c r="D38" s="27">
        <f>BZ_100!D36</f>
        <v>0</v>
      </c>
      <c r="E38" s="27">
        <f>BZ_100!E36</f>
        <v>0</v>
      </c>
      <c r="F38" s="27">
        <f>BZ_100!F36</f>
        <v>0</v>
      </c>
      <c r="G38" s="24">
        <f>BZ_100!G36</f>
        <v>0</v>
      </c>
      <c r="H38" s="45">
        <f>BZ_100!H36</f>
        <v>0</v>
      </c>
      <c r="I38" s="26">
        <f>BZ_100!I36</f>
        <v>0</v>
      </c>
      <c r="J38" s="27">
        <f>BZ_100!J36</f>
        <v>0</v>
      </c>
      <c r="K38" s="27">
        <f>BZ_100!K36</f>
        <v>0</v>
      </c>
      <c r="L38" s="25">
        <f>BZ_100!L36</f>
        <v>0</v>
      </c>
      <c r="M38" s="25">
        <f>BZ_100!M36</f>
        <v>0</v>
      </c>
      <c r="N38" s="25">
        <f>BZ_100!N36</f>
        <v>0</v>
      </c>
      <c r="O38" s="25">
        <f>BZ_100!O36</f>
        <v>0</v>
      </c>
      <c r="P38" s="25">
        <f>BZ_100!P36</f>
        <v>0</v>
      </c>
      <c r="Q38" s="25">
        <f>BZ_100!Q36</f>
        <v>0</v>
      </c>
      <c r="R38" s="27">
        <f>BZ_100!R36</f>
        <v>0</v>
      </c>
      <c r="S38" s="25">
        <f>BZ_100!S36</f>
        <v>0</v>
      </c>
      <c r="T38" s="25">
        <f>BZ_100!T36</f>
        <v>0</v>
      </c>
      <c r="U38" s="36">
        <f>BZ_100!U36</f>
        <v>0</v>
      </c>
      <c r="V38" s="37">
        <f>BZ_100!V36</f>
        <v>0</v>
      </c>
      <c r="W38" s="70">
        <f t="shared" si="17"/>
        <v>0</v>
      </c>
      <c r="X38" s="71" t="e">
        <f t="shared" si="18"/>
        <v>#DIV/0!</v>
      </c>
      <c r="Y38" s="72" t="e">
        <f t="shared" si="4"/>
        <v>#DIV/0!</v>
      </c>
      <c r="Z38" s="72" t="e">
        <f t="shared" si="5"/>
        <v>#DIV/0!</v>
      </c>
      <c r="AA38" s="72" t="e">
        <f t="shared" si="6"/>
        <v>#DIV/0!</v>
      </c>
      <c r="AB38" s="73">
        <v>35</v>
      </c>
      <c r="AC38" s="74">
        <f t="shared" si="7"/>
        <v>0</v>
      </c>
      <c r="AD38" s="86">
        <f t="shared" si="16"/>
        <v>0</v>
      </c>
      <c r="AE38" s="74">
        <f t="shared" si="19"/>
        <v>0</v>
      </c>
      <c r="AF38" s="75">
        <f t="shared" si="8"/>
        <v>0</v>
      </c>
      <c r="AG38" s="75">
        <f t="shared" si="9"/>
        <v>0</v>
      </c>
      <c r="AH38" s="82">
        <f t="shared" si="15"/>
        <v>0</v>
      </c>
      <c r="AI38" s="93">
        <f t="shared" si="10"/>
        <v>0</v>
      </c>
      <c r="AJ38" s="92">
        <f t="shared" si="11"/>
        <v>0</v>
      </c>
      <c r="AK38" s="82">
        <f t="shared" si="12"/>
        <v>0</v>
      </c>
      <c r="AL38" s="82">
        <f t="shared" si="13"/>
        <v>0</v>
      </c>
      <c r="AM38" s="93">
        <f t="shared" si="14"/>
        <v>0</v>
      </c>
      <c r="AN38" s="16"/>
      <c r="AO38" s="100"/>
      <c r="AP38" s="100"/>
    </row>
    <row r="39" spans="1:42">
      <c r="A39" s="23">
        <f>BZ_100!A37</f>
        <v>0</v>
      </c>
      <c r="B39" s="27">
        <f>BZ_100!B37</f>
        <v>0</v>
      </c>
      <c r="C39" s="27">
        <f>BZ_100!C37</f>
        <v>0</v>
      </c>
      <c r="D39" s="27">
        <f>BZ_100!D37</f>
        <v>0</v>
      </c>
      <c r="E39" s="27">
        <f>BZ_100!E37</f>
        <v>0</v>
      </c>
      <c r="F39" s="27">
        <f>BZ_100!F37</f>
        <v>0</v>
      </c>
      <c r="G39" s="24">
        <f>BZ_100!G37</f>
        <v>0</v>
      </c>
      <c r="H39" s="45">
        <f>BZ_100!H37</f>
        <v>0</v>
      </c>
      <c r="I39" s="26">
        <f>BZ_100!I37</f>
        <v>0</v>
      </c>
      <c r="J39" s="27">
        <f>BZ_100!J37</f>
        <v>0</v>
      </c>
      <c r="K39" s="27">
        <f>BZ_100!K37</f>
        <v>0</v>
      </c>
      <c r="L39" s="25">
        <f>BZ_100!L37</f>
        <v>0</v>
      </c>
      <c r="M39" s="25">
        <f>BZ_100!M37</f>
        <v>0</v>
      </c>
      <c r="N39" s="25">
        <f>BZ_100!N37</f>
        <v>0</v>
      </c>
      <c r="O39" s="25">
        <f>BZ_100!O37</f>
        <v>0</v>
      </c>
      <c r="P39" s="25">
        <f>BZ_100!P37</f>
        <v>0</v>
      </c>
      <c r="Q39" s="25">
        <f>BZ_100!Q37</f>
        <v>0</v>
      </c>
      <c r="R39" s="27">
        <f>BZ_100!R37</f>
        <v>0</v>
      </c>
      <c r="S39" s="25">
        <f>BZ_100!S37</f>
        <v>0</v>
      </c>
      <c r="T39" s="25">
        <f>BZ_100!T37</f>
        <v>0</v>
      </c>
      <c r="U39" s="36">
        <f>BZ_100!U37</f>
        <v>0</v>
      </c>
      <c r="V39" s="37">
        <f>BZ_100!V37</f>
        <v>0</v>
      </c>
      <c r="W39" s="70">
        <f t="shared" si="17"/>
        <v>0</v>
      </c>
      <c r="X39" s="71" t="e">
        <f t="shared" si="18"/>
        <v>#DIV/0!</v>
      </c>
      <c r="Y39" s="72" t="e">
        <f t="shared" si="4"/>
        <v>#DIV/0!</v>
      </c>
      <c r="Z39" s="72" t="e">
        <f t="shared" si="5"/>
        <v>#DIV/0!</v>
      </c>
      <c r="AA39" s="72" t="e">
        <f t="shared" si="6"/>
        <v>#DIV/0!</v>
      </c>
      <c r="AB39" s="73">
        <v>36</v>
      </c>
      <c r="AC39" s="74">
        <f t="shared" si="7"/>
        <v>0</v>
      </c>
      <c r="AD39" s="86">
        <f t="shared" si="16"/>
        <v>0</v>
      </c>
      <c r="AE39" s="74">
        <f t="shared" si="19"/>
        <v>0</v>
      </c>
      <c r="AF39" s="75">
        <f t="shared" si="8"/>
        <v>0</v>
      </c>
      <c r="AG39" s="75">
        <f t="shared" si="9"/>
        <v>0</v>
      </c>
      <c r="AH39" s="82">
        <f t="shared" si="15"/>
        <v>0</v>
      </c>
      <c r="AI39" s="93">
        <f t="shared" si="10"/>
        <v>0</v>
      </c>
      <c r="AJ39" s="92">
        <f t="shared" si="11"/>
        <v>0</v>
      </c>
      <c r="AK39" s="82">
        <f t="shared" si="12"/>
        <v>0</v>
      </c>
      <c r="AL39" s="82">
        <f t="shared" si="13"/>
        <v>0</v>
      </c>
      <c r="AM39" s="93">
        <f t="shared" si="14"/>
        <v>0</v>
      </c>
      <c r="AN39" s="16"/>
      <c r="AO39" s="100"/>
      <c r="AP39" s="100"/>
    </row>
    <row r="40" spans="1:42">
      <c r="A40" s="23">
        <f>BZ_100!A38</f>
        <v>0</v>
      </c>
      <c r="B40" s="27">
        <f>BZ_100!B38</f>
        <v>0</v>
      </c>
      <c r="C40" s="27">
        <f>BZ_100!C38</f>
        <v>0</v>
      </c>
      <c r="D40" s="27">
        <f>BZ_100!D38</f>
        <v>0</v>
      </c>
      <c r="E40" s="27">
        <f>BZ_100!E38</f>
        <v>0</v>
      </c>
      <c r="F40" s="27">
        <f>BZ_100!F38</f>
        <v>0</v>
      </c>
      <c r="G40" s="24">
        <f>BZ_100!G38</f>
        <v>0</v>
      </c>
      <c r="H40" s="45">
        <f>BZ_100!H38</f>
        <v>0</v>
      </c>
      <c r="I40" s="26">
        <f>BZ_100!I38</f>
        <v>0</v>
      </c>
      <c r="J40" s="27">
        <f>BZ_100!J38</f>
        <v>0</v>
      </c>
      <c r="K40" s="27">
        <f>BZ_100!K38</f>
        <v>0</v>
      </c>
      <c r="L40" s="25">
        <f>BZ_100!L38</f>
        <v>0</v>
      </c>
      <c r="M40" s="25">
        <f>BZ_100!M38</f>
        <v>0</v>
      </c>
      <c r="N40" s="25">
        <f>BZ_100!N38</f>
        <v>0</v>
      </c>
      <c r="O40" s="25">
        <f>BZ_100!O38</f>
        <v>0</v>
      </c>
      <c r="P40" s="25">
        <f>BZ_100!P38</f>
        <v>0</v>
      </c>
      <c r="Q40" s="25">
        <f>BZ_100!Q38</f>
        <v>0</v>
      </c>
      <c r="R40" s="27">
        <f>BZ_100!R38</f>
        <v>0</v>
      </c>
      <c r="S40" s="25">
        <f>BZ_100!S38</f>
        <v>0</v>
      </c>
      <c r="T40" s="25">
        <f>BZ_100!T38</f>
        <v>0</v>
      </c>
      <c r="U40" s="36">
        <f>BZ_100!U38</f>
        <v>0</v>
      </c>
      <c r="V40" s="37">
        <f>BZ_100!V38</f>
        <v>0</v>
      </c>
      <c r="W40" s="70">
        <f t="shared" si="17"/>
        <v>0</v>
      </c>
      <c r="X40" s="71" t="e">
        <f t="shared" si="18"/>
        <v>#DIV/0!</v>
      </c>
      <c r="Y40" s="72" t="e">
        <f t="shared" si="4"/>
        <v>#DIV/0!</v>
      </c>
      <c r="Z40" s="72" t="e">
        <f t="shared" si="5"/>
        <v>#DIV/0!</v>
      </c>
      <c r="AA40" s="72" t="e">
        <f t="shared" si="6"/>
        <v>#DIV/0!</v>
      </c>
      <c r="AB40" s="73">
        <v>37</v>
      </c>
      <c r="AC40" s="74">
        <f t="shared" si="7"/>
        <v>0</v>
      </c>
      <c r="AD40" s="86">
        <f t="shared" si="16"/>
        <v>0</v>
      </c>
      <c r="AE40" s="74">
        <f t="shared" si="19"/>
        <v>0</v>
      </c>
      <c r="AF40" s="75">
        <f t="shared" si="8"/>
        <v>0</v>
      </c>
      <c r="AG40" s="75">
        <f t="shared" si="9"/>
        <v>0</v>
      </c>
      <c r="AH40" s="82">
        <f t="shared" si="15"/>
        <v>0</v>
      </c>
      <c r="AI40" s="93">
        <f t="shared" si="10"/>
        <v>0</v>
      </c>
      <c r="AJ40" s="92">
        <f t="shared" si="11"/>
        <v>0</v>
      </c>
      <c r="AK40" s="82">
        <f t="shared" si="12"/>
        <v>0</v>
      </c>
      <c r="AL40" s="82">
        <f t="shared" si="13"/>
        <v>0</v>
      </c>
      <c r="AM40" s="93">
        <f t="shared" si="14"/>
        <v>0</v>
      </c>
      <c r="AN40" s="16"/>
      <c r="AO40" s="100"/>
      <c r="AP40" s="100"/>
    </row>
    <row r="41" spans="1:42">
      <c r="A41" s="23">
        <f>BZ_100!A39</f>
        <v>0</v>
      </c>
      <c r="B41" s="27">
        <f>BZ_100!B39</f>
        <v>0</v>
      </c>
      <c r="C41" s="27">
        <f>BZ_100!C39</f>
        <v>0</v>
      </c>
      <c r="D41" s="27">
        <f>BZ_100!D39</f>
        <v>0</v>
      </c>
      <c r="E41" s="27">
        <f>BZ_100!E39</f>
        <v>0</v>
      </c>
      <c r="F41" s="27">
        <f>BZ_100!F39</f>
        <v>0</v>
      </c>
      <c r="G41" s="24">
        <f>BZ_100!G39</f>
        <v>0</v>
      </c>
      <c r="H41" s="45">
        <f>BZ_100!H39</f>
        <v>0</v>
      </c>
      <c r="I41" s="26">
        <f>BZ_100!I39</f>
        <v>0</v>
      </c>
      <c r="J41" s="27">
        <f>BZ_100!J39</f>
        <v>0</v>
      </c>
      <c r="K41" s="27">
        <f>BZ_100!K39</f>
        <v>0</v>
      </c>
      <c r="L41" s="25">
        <f>BZ_100!L39</f>
        <v>0</v>
      </c>
      <c r="M41" s="25">
        <f>BZ_100!M39</f>
        <v>0</v>
      </c>
      <c r="N41" s="25">
        <f>BZ_100!N39</f>
        <v>0</v>
      </c>
      <c r="O41" s="25">
        <f>BZ_100!O39</f>
        <v>0</v>
      </c>
      <c r="P41" s="25">
        <f>BZ_100!P39</f>
        <v>0</v>
      </c>
      <c r="Q41" s="25">
        <f>BZ_100!Q39</f>
        <v>0</v>
      </c>
      <c r="R41" s="27">
        <f>BZ_100!R39</f>
        <v>0</v>
      </c>
      <c r="S41" s="25">
        <f>BZ_100!S39</f>
        <v>0</v>
      </c>
      <c r="T41" s="25">
        <f>BZ_100!T39</f>
        <v>0</v>
      </c>
      <c r="U41" s="36">
        <f>BZ_100!U39</f>
        <v>0</v>
      </c>
      <c r="V41" s="37">
        <f>BZ_100!V39</f>
        <v>0</v>
      </c>
      <c r="W41" s="70">
        <f t="shared" si="17"/>
        <v>0</v>
      </c>
      <c r="X41" s="71" t="e">
        <f t="shared" si="18"/>
        <v>#DIV/0!</v>
      </c>
      <c r="Y41" s="72" t="e">
        <f t="shared" si="4"/>
        <v>#DIV/0!</v>
      </c>
      <c r="Z41" s="72" t="e">
        <f t="shared" si="5"/>
        <v>#DIV/0!</v>
      </c>
      <c r="AA41" s="72" t="e">
        <f t="shared" si="6"/>
        <v>#DIV/0!</v>
      </c>
      <c r="AB41" s="73">
        <v>38</v>
      </c>
      <c r="AC41" s="74">
        <f t="shared" si="7"/>
        <v>0</v>
      </c>
      <c r="AD41" s="86">
        <f t="shared" si="16"/>
        <v>0</v>
      </c>
      <c r="AE41" s="74">
        <f t="shared" si="19"/>
        <v>0</v>
      </c>
      <c r="AF41" s="75">
        <f t="shared" si="8"/>
        <v>0</v>
      </c>
      <c r="AG41" s="75">
        <f t="shared" si="9"/>
        <v>0</v>
      </c>
      <c r="AH41" s="82">
        <f t="shared" si="15"/>
        <v>0</v>
      </c>
      <c r="AI41" s="93">
        <f t="shared" si="10"/>
        <v>0</v>
      </c>
      <c r="AJ41" s="92">
        <f t="shared" si="11"/>
        <v>0</v>
      </c>
      <c r="AK41" s="82">
        <f t="shared" si="12"/>
        <v>0</v>
      </c>
      <c r="AL41" s="82">
        <f t="shared" si="13"/>
        <v>0</v>
      </c>
      <c r="AM41" s="93">
        <f t="shared" si="14"/>
        <v>0</v>
      </c>
      <c r="AN41" s="16"/>
      <c r="AO41" s="100"/>
      <c r="AP41" s="100"/>
    </row>
    <row r="42" spans="1:42">
      <c r="A42" s="23">
        <f>BZ_100!A40</f>
        <v>0</v>
      </c>
      <c r="B42" s="27">
        <f>BZ_100!B40</f>
        <v>0</v>
      </c>
      <c r="C42" s="27">
        <f>BZ_100!C40</f>
        <v>0</v>
      </c>
      <c r="D42" s="27">
        <f>BZ_100!D40</f>
        <v>0</v>
      </c>
      <c r="E42" s="27">
        <f>BZ_100!E40</f>
        <v>0</v>
      </c>
      <c r="F42" s="27">
        <f>BZ_100!F40</f>
        <v>0</v>
      </c>
      <c r="G42" s="24">
        <f>BZ_100!G40</f>
        <v>0</v>
      </c>
      <c r="H42" s="45">
        <f>BZ_100!H40</f>
        <v>0</v>
      </c>
      <c r="I42" s="26">
        <f>BZ_100!I40</f>
        <v>0</v>
      </c>
      <c r="J42" s="27">
        <f>BZ_100!J40</f>
        <v>0</v>
      </c>
      <c r="K42" s="27">
        <f>BZ_100!K40</f>
        <v>0</v>
      </c>
      <c r="L42" s="25">
        <f>BZ_100!L40</f>
        <v>0</v>
      </c>
      <c r="M42" s="25">
        <f>BZ_100!M40</f>
        <v>0</v>
      </c>
      <c r="N42" s="25">
        <f>BZ_100!N40</f>
        <v>0</v>
      </c>
      <c r="O42" s="25">
        <f>BZ_100!O40</f>
        <v>0</v>
      </c>
      <c r="P42" s="25">
        <f>BZ_100!P40</f>
        <v>0</v>
      </c>
      <c r="Q42" s="25">
        <f>BZ_100!Q40</f>
        <v>0</v>
      </c>
      <c r="R42" s="27">
        <f>BZ_100!R40</f>
        <v>0</v>
      </c>
      <c r="S42" s="25">
        <f>BZ_100!S40</f>
        <v>0</v>
      </c>
      <c r="T42" s="25">
        <f>BZ_100!T40</f>
        <v>0</v>
      </c>
      <c r="U42" s="36">
        <f>BZ_100!U40</f>
        <v>0</v>
      </c>
      <c r="V42" s="37">
        <f>BZ_100!V40</f>
        <v>0</v>
      </c>
      <c r="W42" s="70">
        <f t="shared" si="17"/>
        <v>0</v>
      </c>
      <c r="X42" s="71" t="e">
        <f t="shared" si="18"/>
        <v>#DIV/0!</v>
      </c>
      <c r="Y42" s="72" t="e">
        <f t="shared" si="4"/>
        <v>#DIV/0!</v>
      </c>
      <c r="Z42" s="72" t="e">
        <f t="shared" si="5"/>
        <v>#DIV/0!</v>
      </c>
      <c r="AA42" s="72" t="e">
        <f t="shared" si="6"/>
        <v>#DIV/0!</v>
      </c>
      <c r="AB42" s="73">
        <v>39</v>
      </c>
      <c r="AC42" s="74">
        <f t="shared" si="7"/>
        <v>0</v>
      </c>
      <c r="AD42" s="86">
        <f t="shared" si="16"/>
        <v>0</v>
      </c>
      <c r="AE42" s="74">
        <f t="shared" si="19"/>
        <v>0</v>
      </c>
      <c r="AF42" s="75">
        <f t="shared" si="8"/>
        <v>0</v>
      </c>
      <c r="AG42" s="75">
        <f t="shared" si="9"/>
        <v>0</v>
      </c>
      <c r="AH42" s="82">
        <f t="shared" si="15"/>
        <v>0</v>
      </c>
      <c r="AI42" s="93">
        <f t="shared" si="10"/>
        <v>0</v>
      </c>
      <c r="AJ42" s="92">
        <f t="shared" si="11"/>
        <v>0</v>
      </c>
      <c r="AK42" s="82">
        <f t="shared" si="12"/>
        <v>0</v>
      </c>
      <c r="AL42" s="82">
        <f t="shared" si="13"/>
        <v>0</v>
      </c>
      <c r="AM42" s="93">
        <f t="shared" si="14"/>
        <v>0</v>
      </c>
      <c r="AN42" s="16"/>
      <c r="AO42" s="100"/>
      <c r="AP42" s="100"/>
    </row>
    <row r="43" spans="1:42">
      <c r="A43" s="23">
        <f>BZ_100!A41</f>
        <v>0</v>
      </c>
      <c r="B43" s="27">
        <f>BZ_100!B41</f>
        <v>0</v>
      </c>
      <c r="C43" s="27">
        <f>BZ_100!C41</f>
        <v>0</v>
      </c>
      <c r="D43" s="27">
        <f>BZ_100!D41</f>
        <v>0</v>
      </c>
      <c r="E43" s="27">
        <f>BZ_100!E41</f>
        <v>0</v>
      </c>
      <c r="F43" s="27">
        <f>BZ_100!F41</f>
        <v>0</v>
      </c>
      <c r="G43" s="24">
        <f>BZ_100!G41</f>
        <v>0</v>
      </c>
      <c r="H43" s="45">
        <f>BZ_100!H41</f>
        <v>0</v>
      </c>
      <c r="I43" s="26">
        <f>BZ_100!I41</f>
        <v>0</v>
      </c>
      <c r="J43" s="27">
        <f>BZ_100!J41</f>
        <v>0</v>
      </c>
      <c r="K43" s="27">
        <f>BZ_100!K41</f>
        <v>0</v>
      </c>
      <c r="L43" s="25">
        <f>BZ_100!L41</f>
        <v>0</v>
      </c>
      <c r="M43" s="25">
        <f>BZ_100!M41</f>
        <v>0</v>
      </c>
      <c r="N43" s="25">
        <f>BZ_100!N41</f>
        <v>0</v>
      </c>
      <c r="O43" s="25">
        <f>BZ_100!O41</f>
        <v>0</v>
      </c>
      <c r="P43" s="25">
        <f>BZ_100!P41</f>
        <v>0</v>
      </c>
      <c r="Q43" s="25">
        <f>BZ_100!Q41</f>
        <v>0</v>
      </c>
      <c r="R43" s="27">
        <f>BZ_100!R41</f>
        <v>0</v>
      </c>
      <c r="S43" s="25">
        <f>BZ_100!S41</f>
        <v>0</v>
      </c>
      <c r="T43" s="25">
        <f>BZ_100!T41</f>
        <v>0</v>
      </c>
      <c r="U43" s="36">
        <f>BZ_100!U41</f>
        <v>0</v>
      </c>
      <c r="V43" s="37">
        <f>BZ_100!V41</f>
        <v>0</v>
      </c>
      <c r="W43" s="70">
        <f t="shared" si="17"/>
        <v>0</v>
      </c>
      <c r="X43" s="71" t="e">
        <f t="shared" si="18"/>
        <v>#DIV/0!</v>
      </c>
      <c r="Y43" s="72" t="e">
        <f t="shared" si="4"/>
        <v>#DIV/0!</v>
      </c>
      <c r="Z43" s="72" t="e">
        <f t="shared" si="5"/>
        <v>#DIV/0!</v>
      </c>
      <c r="AA43" s="72" t="e">
        <f t="shared" si="6"/>
        <v>#DIV/0!</v>
      </c>
      <c r="AB43" s="73">
        <v>40</v>
      </c>
      <c r="AC43" s="74">
        <f t="shared" si="7"/>
        <v>0</v>
      </c>
      <c r="AD43" s="86">
        <f t="shared" si="16"/>
        <v>0</v>
      </c>
      <c r="AE43" s="74">
        <f t="shared" si="19"/>
        <v>0</v>
      </c>
      <c r="AF43" s="75">
        <f t="shared" si="8"/>
        <v>0</v>
      </c>
      <c r="AG43" s="75">
        <f t="shared" si="9"/>
        <v>0</v>
      </c>
      <c r="AH43" s="82">
        <f t="shared" si="15"/>
        <v>0</v>
      </c>
      <c r="AI43" s="93">
        <f t="shared" si="10"/>
        <v>0</v>
      </c>
      <c r="AJ43" s="92">
        <f t="shared" si="11"/>
        <v>0</v>
      </c>
      <c r="AK43" s="82">
        <f t="shared" si="12"/>
        <v>0</v>
      </c>
      <c r="AL43" s="82">
        <f t="shared" si="13"/>
        <v>0</v>
      </c>
      <c r="AM43" s="93">
        <f t="shared" si="14"/>
        <v>0</v>
      </c>
      <c r="AN43" s="16"/>
      <c r="AO43" s="100"/>
      <c r="AP43" s="100"/>
    </row>
    <row r="44" spans="1:42">
      <c r="A44" s="23">
        <f>BZ_100!A42</f>
        <v>0</v>
      </c>
      <c r="B44" s="27">
        <f>BZ_100!B42</f>
        <v>0</v>
      </c>
      <c r="C44" s="27">
        <f>BZ_100!C42</f>
        <v>0</v>
      </c>
      <c r="D44" s="27">
        <f>BZ_100!D42</f>
        <v>0</v>
      </c>
      <c r="E44" s="27">
        <f>BZ_100!E42</f>
        <v>0</v>
      </c>
      <c r="F44" s="27">
        <f>BZ_100!F42</f>
        <v>0</v>
      </c>
      <c r="G44" s="24">
        <f>BZ_100!G42</f>
        <v>0</v>
      </c>
      <c r="H44" s="45">
        <f>BZ_100!H42</f>
        <v>0</v>
      </c>
      <c r="I44" s="26">
        <f>BZ_100!I42</f>
        <v>0</v>
      </c>
      <c r="J44" s="27">
        <f>BZ_100!J42</f>
        <v>0</v>
      </c>
      <c r="K44" s="27">
        <f>BZ_100!K42</f>
        <v>0</v>
      </c>
      <c r="L44" s="25">
        <f>BZ_100!L42</f>
        <v>0</v>
      </c>
      <c r="M44" s="25">
        <f>BZ_100!M42</f>
        <v>0</v>
      </c>
      <c r="N44" s="25">
        <f>BZ_100!N42</f>
        <v>0</v>
      </c>
      <c r="O44" s="25">
        <f>BZ_100!O42</f>
        <v>0</v>
      </c>
      <c r="P44" s="25">
        <f>BZ_100!P42</f>
        <v>0</v>
      </c>
      <c r="Q44" s="25">
        <f>BZ_100!Q42</f>
        <v>0</v>
      </c>
      <c r="R44" s="27">
        <f>BZ_100!R42</f>
        <v>0</v>
      </c>
      <c r="S44" s="25">
        <f>BZ_100!S42</f>
        <v>0</v>
      </c>
      <c r="T44" s="25">
        <f>BZ_100!T42</f>
        <v>0</v>
      </c>
      <c r="U44" s="36">
        <f>BZ_100!U42</f>
        <v>0</v>
      </c>
      <c r="V44" s="37">
        <f>BZ_100!V42</f>
        <v>0</v>
      </c>
      <c r="W44" s="70">
        <f t="shared" si="17"/>
        <v>0</v>
      </c>
      <c r="X44" s="71" t="e">
        <f t="shared" si="18"/>
        <v>#DIV/0!</v>
      </c>
      <c r="Y44" s="72" t="e">
        <f t="shared" si="4"/>
        <v>#DIV/0!</v>
      </c>
      <c r="Z44" s="72" t="e">
        <f t="shared" si="5"/>
        <v>#DIV/0!</v>
      </c>
      <c r="AA44" s="72" t="e">
        <f t="shared" si="6"/>
        <v>#DIV/0!</v>
      </c>
      <c r="AB44" s="73">
        <v>41</v>
      </c>
      <c r="AC44" s="74">
        <f t="shared" si="7"/>
        <v>0</v>
      </c>
      <c r="AD44" s="86">
        <f t="shared" si="16"/>
        <v>0</v>
      </c>
      <c r="AE44" s="74">
        <f t="shared" si="19"/>
        <v>0</v>
      </c>
      <c r="AF44" s="75">
        <f t="shared" si="8"/>
        <v>0</v>
      </c>
      <c r="AG44" s="75">
        <f t="shared" si="9"/>
        <v>0</v>
      </c>
      <c r="AH44" s="82">
        <f t="shared" si="15"/>
        <v>0</v>
      </c>
      <c r="AI44" s="93">
        <f t="shared" si="10"/>
        <v>0</v>
      </c>
      <c r="AJ44" s="92">
        <f t="shared" si="11"/>
        <v>0</v>
      </c>
      <c r="AK44" s="82">
        <f t="shared" si="12"/>
        <v>0</v>
      </c>
      <c r="AL44" s="82">
        <f t="shared" si="13"/>
        <v>0</v>
      </c>
      <c r="AM44" s="93">
        <f t="shared" si="14"/>
        <v>0</v>
      </c>
      <c r="AN44" s="16"/>
      <c r="AO44" s="100"/>
      <c r="AP44" s="100"/>
    </row>
    <row r="45" spans="1:42">
      <c r="A45" s="23">
        <f>BZ_100!A43</f>
        <v>0</v>
      </c>
      <c r="B45" s="27">
        <f>BZ_100!B43</f>
        <v>0</v>
      </c>
      <c r="C45" s="27">
        <f>BZ_100!C43</f>
        <v>0</v>
      </c>
      <c r="D45" s="27">
        <f>BZ_100!D43</f>
        <v>0</v>
      </c>
      <c r="E45" s="27">
        <f>BZ_100!E43</f>
        <v>0</v>
      </c>
      <c r="F45" s="27">
        <f>BZ_100!F43</f>
        <v>0</v>
      </c>
      <c r="G45" s="24">
        <f>BZ_100!G43</f>
        <v>0</v>
      </c>
      <c r="H45" s="45">
        <f>BZ_100!H43</f>
        <v>0</v>
      </c>
      <c r="I45" s="26">
        <f>BZ_100!I43</f>
        <v>0</v>
      </c>
      <c r="J45" s="27">
        <f>BZ_100!J43</f>
        <v>0</v>
      </c>
      <c r="K45" s="27">
        <f>BZ_100!K43</f>
        <v>0</v>
      </c>
      <c r="L45" s="25">
        <f>BZ_100!L43</f>
        <v>0</v>
      </c>
      <c r="M45" s="25">
        <f>BZ_100!M43</f>
        <v>0</v>
      </c>
      <c r="N45" s="25">
        <f>BZ_100!N43</f>
        <v>0</v>
      </c>
      <c r="O45" s="25">
        <f>BZ_100!O43</f>
        <v>0</v>
      </c>
      <c r="P45" s="25">
        <f>BZ_100!P43</f>
        <v>0</v>
      </c>
      <c r="Q45" s="25">
        <f>BZ_100!Q43</f>
        <v>0</v>
      </c>
      <c r="R45" s="27">
        <f>BZ_100!R43</f>
        <v>0</v>
      </c>
      <c r="S45" s="25">
        <f>BZ_100!S43</f>
        <v>0</v>
      </c>
      <c r="T45" s="25">
        <f>BZ_100!T43</f>
        <v>0</v>
      </c>
      <c r="U45" s="36">
        <f>BZ_100!U43</f>
        <v>0</v>
      </c>
      <c r="V45" s="37">
        <f>BZ_100!V43</f>
        <v>0</v>
      </c>
      <c r="W45" s="70">
        <f t="shared" si="17"/>
        <v>0</v>
      </c>
      <c r="X45" s="71" t="e">
        <f t="shared" si="18"/>
        <v>#DIV/0!</v>
      </c>
      <c r="Y45" s="72" t="e">
        <f t="shared" si="4"/>
        <v>#DIV/0!</v>
      </c>
      <c r="Z45" s="72" t="e">
        <f t="shared" si="5"/>
        <v>#DIV/0!</v>
      </c>
      <c r="AA45" s="72" t="e">
        <f t="shared" si="6"/>
        <v>#DIV/0!</v>
      </c>
      <c r="AB45" s="73">
        <v>42</v>
      </c>
      <c r="AC45" s="74">
        <f t="shared" si="7"/>
        <v>0</v>
      </c>
      <c r="AD45" s="86">
        <f t="shared" si="16"/>
        <v>0</v>
      </c>
      <c r="AE45" s="74">
        <f t="shared" si="19"/>
        <v>0</v>
      </c>
      <c r="AF45" s="75">
        <f t="shared" si="8"/>
        <v>0</v>
      </c>
      <c r="AG45" s="75">
        <f t="shared" si="9"/>
        <v>0</v>
      </c>
      <c r="AH45" s="82">
        <f t="shared" si="15"/>
        <v>0</v>
      </c>
      <c r="AI45" s="93">
        <f t="shared" si="10"/>
        <v>0</v>
      </c>
      <c r="AJ45" s="92">
        <f t="shared" si="11"/>
        <v>0</v>
      </c>
      <c r="AK45" s="82">
        <f t="shared" si="12"/>
        <v>0</v>
      </c>
      <c r="AL45" s="82">
        <f t="shared" si="13"/>
        <v>0</v>
      </c>
      <c r="AM45" s="93">
        <f t="shared" si="14"/>
        <v>0</v>
      </c>
      <c r="AN45" s="16"/>
    </row>
    <row r="46" spans="1:42">
      <c r="A46" s="23">
        <f>BZ_100!A44</f>
        <v>0</v>
      </c>
      <c r="B46" s="27">
        <f>BZ_100!B44</f>
        <v>0</v>
      </c>
      <c r="C46" s="27">
        <f>BZ_100!C44</f>
        <v>0</v>
      </c>
      <c r="D46" s="27">
        <f>BZ_100!D44</f>
        <v>0</v>
      </c>
      <c r="E46" s="27">
        <f>BZ_100!E44</f>
        <v>0</v>
      </c>
      <c r="F46" s="27">
        <f>BZ_100!F44</f>
        <v>0</v>
      </c>
      <c r="G46" s="24">
        <f>BZ_100!G44</f>
        <v>0</v>
      </c>
      <c r="H46" s="45">
        <f>BZ_100!H44</f>
        <v>0</v>
      </c>
      <c r="I46" s="26">
        <f>BZ_100!I44</f>
        <v>0</v>
      </c>
      <c r="J46" s="27">
        <f>BZ_100!J44</f>
        <v>0</v>
      </c>
      <c r="K46" s="27">
        <f>BZ_100!K44</f>
        <v>0</v>
      </c>
      <c r="L46" s="25">
        <f>BZ_100!L44</f>
        <v>0</v>
      </c>
      <c r="M46" s="25">
        <f>BZ_100!M44</f>
        <v>0</v>
      </c>
      <c r="N46" s="25">
        <f>BZ_100!N44</f>
        <v>0</v>
      </c>
      <c r="O46" s="25">
        <f>BZ_100!O44</f>
        <v>0</v>
      </c>
      <c r="P46" s="25">
        <f>BZ_100!P44</f>
        <v>0</v>
      </c>
      <c r="Q46" s="25">
        <f>BZ_100!Q44</f>
        <v>0</v>
      </c>
      <c r="R46" s="27">
        <f>BZ_100!R44</f>
        <v>0</v>
      </c>
      <c r="S46" s="25">
        <f>BZ_100!S44</f>
        <v>0</v>
      </c>
      <c r="T46" s="25">
        <f>BZ_100!T44</f>
        <v>0</v>
      </c>
      <c r="U46" s="36">
        <f>BZ_100!U44</f>
        <v>0</v>
      </c>
      <c r="V46" s="37">
        <f>BZ_100!V44</f>
        <v>0</v>
      </c>
      <c r="W46" s="70">
        <f t="shared" si="17"/>
        <v>0</v>
      </c>
      <c r="X46" s="71" t="e">
        <f t="shared" si="18"/>
        <v>#DIV/0!</v>
      </c>
      <c r="Y46" s="72" t="e">
        <f t="shared" si="4"/>
        <v>#DIV/0!</v>
      </c>
      <c r="Z46" s="72" t="e">
        <f t="shared" si="5"/>
        <v>#DIV/0!</v>
      </c>
      <c r="AA46" s="72" t="e">
        <f t="shared" si="6"/>
        <v>#DIV/0!</v>
      </c>
      <c r="AB46" s="73">
        <v>43</v>
      </c>
      <c r="AC46" s="74">
        <f t="shared" si="7"/>
        <v>0</v>
      </c>
      <c r="AD46" s="86">
        <f t="shared" si="16"/>
        <v>0</v>
      </c>
      <c r="AE46" s="74">
        <f t="shared" si="19"/>
        <v>0</v>
      </c>
      <c r="AF46" s="75">
        <f t="shared" si="8"/>
        <v>0</v>
      </c>
      <c r="AG46" s="75">
        <f t="shared" si="9"/>
        <v>0</v>
      </c>
      <c r="AH46" s="82">
        <f t="shared" si="15"/>
        <v>0</v>
      </c>
      <c r="AI46" s="93">
        <f t="shared" si="10"/>
        <v>0</v>
      </c>
      <c r="AJ46" s="92">
        <f t="shared" si="11"/>
        <v>0</v>
      </c>
      <c r="AK46" s="82">
        <f t="shared" si="12"/>
        <v>0</v>
      </c>
      <c r="AL46" s="82">
        <f t="shared" si="13"/>
        <v>0</v>
      </c>
      <c r="AM46" s="93">
        <f t="shared" si="14"/>
        <v>0</v>
      </c>
      <c r="AN46" s="16"/>
    </row>
    <row r="47" spans="1:42">
      <c r="A47" s="23">
        <f>BZ_100!A45</f>
        <v>0</v>
      </c>
      <c r="B47" s="27">
        <f>BZ_100!B45</f>
        <v>0</v>
      </c>
      <c r="C47" s="27">
        <f>BZ_100!C45</f>
        <v>0</v>
      </c>
      <c r="D47" s="27">
        <f>BZ_100!D45</f>
        <v>0</v>
      </c>
      <c r="E47" s="27">
        <f>BZ_100!E45</f>
        <v>0</v>
      </c>
      <c r="F47" s="27">
        <f>BZ_100!F45</f>
        <v>0</v>
      </c>
      <c r="G47" s="24">
        <f>BZ_100!G45</f>
        <v>0</v>
      </c>
      <c r="H47" s="45">
        <f>BZ_100!H45</f>
        <v>0</v>
      </c>
      <c r="I47" s="26">
        <f>BZ_100!I45</f>
        <v>0</v>
      </c>
      <c r="J47" s="27">
        <f>BZ_100!J45</f>
        <v>0</v>
      </c>
      <c r="K47" s="27">
        <f>BZ_100!K45</f>
        <v>0</v>
      </c>
      <c r="L47" s="25">
        <f>BZ_100!L45</f>
        <v>0</v>
      </c>
      <c r="M47" s="25">
        <f>BZ_100!M45</f>
        <v>0</v>
      </c>
      <c r="N47" s="25">
        <f>BZ_100!N45</f>
        <v>0</v>
      </c>
      <c r="O47" s="25">
        <f>BZ_100!O45</f>
        <v>0</v>
      </c>
      <c r="P47" s="25">
        <f>BZ_100!P45</f>
        <v>0</v>
      </c>
      <c r="Q47" s="25">
        <f>BZ_100!Q45</f>
        <v>0</v>
      </c>
      <c r="R47" s="27">
        <f>BZ_100!R45</f>
        <v>0</v>
      </c>
      <c r="S47" s="25">
        <f>BZ_100!S45</f>
        <v>0</v>
      </c>
      <c r="T47" s="25">
        <f>BZ_100!T45</f>
        <v>0</v>
      </c>
      <c r="U47" s="36">
        <f>BZ_100!U45</f>
        <v>0</v>
      </c>
      <c r="V47" s="37">
        <f>BZ_100!V45</f>
        <v>0</v>
      </c>
      <c r="W47" s="70">
        <f t="shared" si="17"/>
        <v>0</v>
      </c>
      <c r="X47" s="71" t="e">
        <f t="shared" si="18"/>
        <v>#DIV/0!</v>
      </c>
      <c r="Y47" s="72" t="e">
        <f t="shared" si="4"/>
        <v>#DIV/0!</v>
      </c>
      <c r="Z47" s="72" t="e">
        <f t="shared" si="5"/>
        <v>#DIV/0!</v>
      </c>
      <c r="AA47" s="72" t="e">
        <f t="shared" si="6"/>
        <v>#DIV/0!</v>
      </c>
      <c r="AB47" s="73">
        <v>44</v>
      </c>
      <c r="AC47" s="74">
        <f t="shared" si="7"/>
        <v>0</v>
      </c>
      <c r="AD47" s="86">
        <f t="shared" si="16"/>
        <v>0</v>
      </c>
      <c r="AE47" s="74">
        <f t="shared" si="19"/>
        <v>0</v>
      </c>
      <c r="AF47" s="75">
        <f t="shared" si="8"/>
        <v>0</v>
      </c>
      <c r="AG47" s="75">
        <f t="shared" si="9"/>
        <v>0</v>
      </c>
      <c r="AH47" s="82">
        <f t="shared" si="15"/>
        <v>0</v>
      </c>
      <c r="AI47" s="93">
        <f t="shared" si="10"/>
        <v>0</v>
      </c>
      <c r="AJ47" s="92">
        <f t="shared" si="11"/>
        <v>0</v>
      </c>
      <c r="AK47" s="82">
        <f t="shared" si="12"/>
        <v>0</v>
      </c>
      <c r="AL47" s="82">
        <f t="shared" si="13"/>
        <v>0</v>
      </c>
      <c r="AM47" s="93">
        <f t="shared" si="14"/>
        <v>0</v>
      </c>
      <c r="AN47" s="16"/>
    </row>
    <row r="48" spans="1:42">
      <c r="A48" s="23">
        <f>BZ_100!A46</f>
        <v>0</v>
      </c>
      <c r="B48" s="27">
        <f>BZ_100!B46</f>
        <v>0</v>
      </c>
      <c r="C48" s="27">
        <f>BZ_100!C46</f>
        <v>0</v>
      </c>
      <c r="D48" s="27">
        <f>BZ_100!D46</f>
        <v>0</v>
      </c>
      <c r="E48" s="27">
        <f>BZ_100!E46</f>
        <v>0</v>
      </c>
      <c r="F48" s="27">
        <f>BZ_100!F46</f>
        <v>0</v>
      </c>
      <c r="G48" s="24">
        <f>BZ_100!G46</f>
        <v>0</v>
      </c>
      <c r="H48" s="45">
        <f>BZ_100!H46</f>
        <v>0</v>
      </c>
      <c r="I48" s="26">
        <f>BZ_100!I46</f>
        <v>0</v>
      </c>
      <c r="J48" s="27">
        <f>BZ_100!J46</f>
        <v>0</v>
      </c>
      <c r="K48" s="27">
        <f>BZ_100!K46</f>
        <v>0</v>
      </c>
      <c r="L48" s="25">
        <f>BZ_100!L46</f>
        <v>0</v>
      </c>
      <c r="M48" s="25">
        <f>BZ_100!M46</f>
        <v>0</v>
      </c>
      <c r="N48" s="25">
        <f>BZ_100!N46</f>
        <v>0</v>
      </c>
      <c r="O48" s="25">
        <f>BZ_100!O46</f>
        <v>0</v>
      </c>
      <c r="P48" s="25">
        <f>BZ_100!P46</f>
        <v>0</v>
      </c>
      <c r="Q48" s="25">
        <f>BZ_100!Q46</f>
        <v>0</v>
      </c>
      <c r="R48" s="27">
        <f>BZ_100!R46</f>
        <v>0</v>
      </c>
      <c r="S48" s="25">
        <f>BZ_100!S46</f>
        <v>0</v>
      </c>
      <c r="T48" s="25">
        <f>BZ_100!T46</f>
        <v>0</v>
      </c>
      <c r="U48" s="36">
        <f>BZ_100!U46</f>
        <v>0</v>
      </c>
      <c r="V48" s="37">
        <f>BZ_100!V46</f>
        <v>0</v>
      </c>
      <c r="W48" s="70">
        <f t="shared" si="17"/>
        <v>0</v>
      </c>
      <c r="X48" s="71" t="e">
        <f t="shared" si="18"/>
        <v>#DIV/0!</v>
      </c>
      <c r="Y48" s="72" t="e">
        <f t="shared" si="4"/>
        <v>#DIV/0!</v>
      </c>
      <c r="Z48" s="72" t="e">
        <f t="shared" si="5"/>
        <v>#DIV/0!</v>
      </c>
      <c r="AA48" s="72" t="e">
        <f t="shared" si="6"/>
        <v>#DIV/0!</v>
      </c>
      <c r="AB48" s="73">
        <v>45</v>
      </c>
      <c r="AC48" s="74">
        <f t="shared" si="7"/>
        <v>0</v>
      </c>
      <c r="AD48" s="86">
        <f t="shared" si="16"/>
        <v>0</v>
      </c>
      <c r="AE48" s="74">
        <f t="shared" si="19"/>
        <v>0</v>
      </c>
      <c r="AF48" s="75">
        <f t="shared" si="8"/>
        <v>0</v>
      </c>
      <c r="AG48" s="75">
        <f t="shared" si="9"/>
        <v>0</v>
      </c>
      <c r="AH48" s="82">
        <f t="shared" si="15"/>
        <v>0</v>
      </c>
      <c r="AI48" s="93">
        <f t="shared" si="10"/>
        <v>0</v>
      </c>
      <c r="AJ48" s="92">
        <f t="shared" si="11"/>
        <v>0</v>
      </c>
      <c r="AK48" s="82">
        <f t="shared" si="12"/>
        <v>0</v>
      </c>
      <c r="AL48" s="82">
        <f t="shared" si="13"/>
        <v>0</v>
      </c>
      <c r="AM48" s="93">
        <f t="shared" si="14"/>
        <v>0</v>
      </c>
      <c r="AN48" s="16"/>
    </row>
    <row r="49" spans="1:40">
      <c r="A49" s="23">
        <f>BZ_100!A47</f>
        <v>0</v>
      </c>
      <c r="B49" s="27">
        <f>BZ_100!B47</f>
        <v>0</v>
      </c>
      <c r="C49" s="27">
        <f>BZ_100!C47</f>
        <v>0</v>
      </c>
      <c r="D49" s="27">
        <f>BZ_100!D47</f>
        <v>0</v>
      </c>
      <c r="E49" s="27">
        <f>BZ_100!E47</f>
        <v>0</v>
      </c>
      <c r="F49" s="27">
        <f>BZ_100!F47</f>
        <v>0</v>
      </c>
      <c r="G49" s="24">
        <f>BZ_100!G47</f>
        <v>0</v>
      </c>
      <c r="H49" s="45">
        <f>BZ_100!H47</f>
        <v>0</v>
      </c>
      <c r="I49" s="26">
        <f>BZ_100!I47</f>
        <v>0</v>
      </c>
      <c r="J49" s="27">
        <f>BZ_100!J47</f>
        <v>0</v>
      </c>
      <c r="K49" s="27">
        <f>BZ_100!K47</f>
        <v>0</v>
      </c>
      <c r="L49" s="25">
        <f>BZ_100!L47</f>
        <v>0</v>
      </c>
      <c r="M49" s="25">
        <f>BZ_100!M47</f>
        <v>0</v>
      </c>
      <c r="N49" s="25">
        <f>BZ_100!N47</f>
        <v>0</v>
      </c>
      <c r="O49" s="25">
        <f>BZ_100!O47</f>
        <v>0</v>
      </c>
      <c r="P49" s="25">
        <f>BZ_100!P47</f>
        <v>0</v>
      </c>
      <c r="Q49" s="25">
        <f>BZ_100!Q47</f>
        <v>0</v>
      </c>
      <c r="R49" s="27">
        <f>BZ_100!R47</f>
        <v>0</v>
      </c>
      <c r="S49" s="25">
        <f>BZ_100!S47</f>
        <v>0</v>
      </c>
      <c r="T49" s="25">
        <f>BZ_100!T47</f>
        <v>0</v>
      </c>
      <c r="U49" s="36">
        <f>BZ_100!U47</f>
        <v>0</v>
      </c>
      <c r="V49" s="37">
        <f>BZ_100!V47</f>
        <v>0</v>
      </c>
      <c r="W49" s="70">
        <f t="shared" si="17"/>
        <v>0</v>
      </c>
      <c r="X49" s="71" t="e">
        <f t="shared" si="18"/>
        <v>#DIV/0!</v>
      </c>
      <c r="Y49" s="72" t="e">
        <f t="shared" si="4"/>
        <v>#DIV/0!</v>
      </c>
      <c r="Z49" s="72" t="e">
        <f t="shared" si="5"/>
        <v>#DIV/0!</v>
      </c>
      <c r="AA49" s="72" t="e">
        <f t="shared" si="6"/>
        <v>#DIV/0!</v>
      </c>
      <c r="AB49" s="73">
        <v>46</v>
      </c>
      <c r="AC49" s="74">
        <f t="shared" si="7"/>
        <v>0</v>
      </c>
      <c r="AD49" s="86">
        <f t="shared" si="16"/>
        <v>0</v>
      </c>
      <c r="AE49" s="74">
        <f t="shared" si="19"/>
        <v>0</v>
      </c>
      <c r="AF49" s="75">
        <f t="shared" si="8"/>
        <v>0</v>
      </c>
      <c r="AG49" s="75">
        <f t="shared" si="9"/>
        <v>0</v>
      </c>
      <c r="AH49" s="82">
        <f t="shared" si="15"/>
        <v>0</v>
      </c>
      <c r="AI49" s="93">
        <f t="shared" si="10"/>
        <v>0</v>
      </c>
      <c r="AJ49" s="92">
        <f t="shared" si="11"/>
        <v>0</v>
      </c>
      <c r="AK49" s="82">
        <f t="shared" si="12"/>
        <v>0</v>
      </c>
      <c r="AL49" s="82">
        <f t="shared" si="13"/>
        <v>0</v>
      </c>
      <c r="AM49" s="93">
        <f t="shared" si="14"/>
        <v>0</v>
      </c>
      <c r="AN49" s="16"/>
    </row>
    <row r="50" spans="1:40">
      <c r="A50" s="23">
        <f>BZ_100!A48</f>
        <v>0</v>
      </c>
      <c r="B50" s="27">
        <f>BZ_100!B48</f>
        <v>0</v>
      </c>
      <c r="C50" s="27">
        <f>BZ_100!C48</f>
        <v>0</v>
      </c>
      <c r="D50" s="27">
        <f>BZ_100!D48</f>
        <v>0</v>
      </c>
      <c r="E50" s="27">
        <f>BZ_100!E48</f>
        <v>0</v>
      </c>
      <c r="F50" s="27">
        <f>BZ_100!F48</f>
        <v>0</v>
      </c>
      <c r="G50" s="24">
        <f>BZ_100!G48</f>
        <v>0</v>
      </c>
      <c r="H50" s="45">
        <f>BZ_100!H48</f>
        <v>0</v>
      </c>
      <c r="I50" s="26">
        <f>BZ_100!I48</f>
        <v>0</v>
      </c>
      <c r="J50" s="27">
        <f>BZ_100!J48</f>
        <v>0</v>
      </c>
      <c r="K50" s="27">
        <f>BZ_100!K48</f>
        <v>0</v>
      </c>
      <c r="L50" s="25">
        <f>BZ_100!L48</f>
        <v>0</v>
      </c>
      <c r="M50" s="25">
        <f>BZ_100!M48</f>
        <v>0</v>
      </c>
      <c r="N50" s="25">
        <f>BZ_100!N48</f>
        <v>0</v>
      </c>
      <c r="O50" s="25">
        <f>BZ_100!O48</f>
        <v>0</v>
      </c>
      <c r="P50" s="25">
        <f>BZ_100!P48</f>
        <v>0</v>
      </c>
      <c r="Q50" s="25">
        <f>BZ_100!Q48</f>
        <v>0</v>
      </c>
      <c r="R50" s="27">
        <f>BZ_100!R48</f>
        <v>0</v>
      </c>
      <c r="S50" s="25">
        <f>BZ_100!S48</f>
        <v>0</v>
      </c>
      <c r="T50" s="25">
        <f>BZ_100!T48</f>
        <v>0</v>
      </c>
      <c r="U50" s="36">
        <f>BZ_100!U48</f>
        <v>0</v>
      </c>
      <c r="V50" s="37">
        <f>BZ_100!V48</f>
        <v>0</v>
      </c>
      <c r="W50" s="70">
        <f t="shared" si="17"/>
        <v>0</v>
      </c>
      <c r="X50" s="71" t="e">
        <f t="shared" si="18"/>
        <v>#DIV/0!</v>
      </c>
      <c r="Y50" s="72" t="e">
        <f t="shared" si="4"/>
        <v>#DIV/0!</v>
      </c>
      <c r="Z50" s="72" t="e">
        <f t="shared" si="5"/>
        <v>#DIV/0!</v>
      </c>
      <c r="AA50" s="72" t="e">
        <f t="shared" si="6"/>
        <v>#DIV/0!</v>
      </c>
      <c r="AB50" s="73">
        <v>47</v>
      </c>
      <c r="AC50" s="74">
        <f t="shared" si="7"/>
        <v>0</v>
      </c>
      <c r="AD50" s="86">
        <f t="shared" si="16"/>
        <v>0</v>
      </c>
      <c r="AE50" s="74">
        <f t="shared" si="19"/>
        <v>0</v>
      </c>
      <c r="AF50" s="75">
        <f t="shared" si="8"/>
        <v>0</v>
      </c>
      <c r="AG50" s="75">
        <f t="shared" si="9"/>
        <v>0</v>
      </c>
      <c r="AH50" s="82">
        <f t="shared" si="15"/>
        <v>0</v>
      </c>
      <c r="AI50" s="93">
        <f t="shared" si="10"/>
        <v>0</v>
      </c>
      <c r="AJ50" s="92">
        <f t="shared" si="11"/>
        <v>0</v>
      </c>
      <c r="AK50" s="82">
        <f t="shared" si="12"/>
        <v>0</v>
      </c>
      <c r="AL50" s="82">
        <f t="shared" si="13"/>
        <v>0</v>
      </c>
      <c r="AM50" s="93">
        <f t="shared" si="14"/>
        <v>0</v>
      </c>
      <c r="AN50" s="16"/>
    </row>
    <row r="51" spans="1:40">
      <c r="A51" s="23">
        <f>BZ_100!A49</f>
        <v>0</v>
      </c>
      <c r="B51" s="27">
        <f>BZ_100!B49</f>
        <v>0</v>
      </c>
      <c r="C51" s="27">
        <f>BZ_100!C49</f>
        <v>0</v>
      </c>
      <c r="D51" s="27">
        <f>BZ_100!D49</f>
        <v>0</v>
      </c>
      <c r="E51" s="27">
        <f>BZ_100!E49</f>
        <v>0</v>
      </c>
      <c r="F51" s="27">
        <f>BZ_100!F49</f>
        <v>0</v>
      </c>
      <c r="G51" s="24">
        <f>BZ_100!G49</f>
        <v>0</v>
      </c>
      <c r="H51" s="45">
        <f>BZ_100!H49</f>
        <v>0</v>
      </c>
      <c r="I51" s="26">
        <f>BZ_100!I49</f>
        <v>0</v>
      </c>
      <c r="J51" s="27">
        <f>BZ_100!J49</f>
        <v>0</v>
      </c>
      <c r="K51" s="27">
        <f>BZ_100!K49</f>
        <v>0</v>
      </c>
      <c r="L51" s="25">
        <f>BZ_100!L49</f>
        <v>0</v>
      </c>
      <c r="M51" s="25">
        <f>BZ_100!M49</f>
        <v>0</v>
      </c>
      <c r="N51" s="25">
        <f>BZ_100!N49</f>
        <v>0</v>
      </c>
      <c r="O51" s="25">
        <f>BZ_100!O49</f>
        <v>0</v>
      </c>
      <c r="P51" s="25">
        <f>BZ_100!P49</f>
        <v>0</v>
      </c>
      <c r="Q51" s="25">
        <f>BZ_100!Q49</f>
        <v>0</v>
      </c>
      <c r="R51" s="27">
        <f>BZ_100!R49</f>
        <v>0</v>
      </c>
      <c r="S51" s="25">
        <f>BZ_100!S49</f>
        <v>0</v>
      </c>
      <c r="T51" s="25">
        <f>BZ_100!T49</f>
        <v>0</v>
      </c>
      <c r="U51" s="36">
        <f>BZ_100!U49</f>
        <v>0</v>
      </c>
      <c r="V51" s="37">
        <f>BZ_100!V49</f>
        <v>0</v>
      </c>
      <c r="W51" s="70">
        <f t="shared" si="17"/>
        <v>0</v>
      </c>
      <c r="X51" s="71" t="e">
        <f t="shared" si="18"/>
        <v>#DIV/0!</v>
      </c>
      <c r="Y51" s="72" t="e">
        <f t="shared" si="4"/>
        <v>#DIV/0!</v>
      </c>
      <c r="Z51" s="72" t="e">
        <f t="shared" si="5"/>
        <v>#DIV/0!</v>
      </c>
      <c r="AA51" s="72" t="e">
        <f t="shared" si="6"/>
        <v>#DIV/0!</v>
      </c>
      <c r="AB51" s="73">
        <v>48</v>
      </c>
      <c r="AC51" s="74">
        <f t="shared" si="7"/>
        <v>0</v>
      </c>
      <c r="AD51" s="86">
        <f t="shared" si="16"/>
        <v>0</v>
      </c>
      <c r="AE51" s="74">
        <f t="shared" si="19"/>
        <v>0</v>
      </c>
      <c r="AF51" s="75">
        <f t="shared" si="8"/>
        <v>0</v>
      </c>
      <c r="AG51" s="75">
        <f t="shared" si="9"/>
        <v>0</v>
      </c>
      <c r="AH51" s="82">
        <f t="shared" si="15"/>
        <v>0</v>
      </c>
      <c r="AI51" s="93">
        <f t="shared" si="10"/>
        <v>0</v>
      </c>
      <c r="AJ51" s="92">
        <f t="shared" si="11"/>
        <v>0</v>
      </c>
      <c r="AK51" s="82">
        <f t="shared" si="12"/>
        <v>0</v>
      </c>
      <c r="AL51" s="82">
        <f t="shared" si="13"/>
        <v>0</v>
      </c>
      <c r="AM51" s="93">
        <f t="shared" si="14"/>
        <v>0</v>
      </c>
      <c r="AN51" s="16"/>
    </row>
    <row r="52" spans="1:40">
      <c r="A52" s="23">
        <f>BZ_100!A50</f>
        <v>0</v>
      </c>
      <c r="B52" s="27">
        <f>BZ_100!B50</f>
        <v>0</v>
      </c>
      <c r="C52" s="27">
        <f>BZ_100!C50</f>
        <v>0</v>
      </c>
      <c r="D52" s="27">
        <f>BZ_100!D50</f>
        <v>0</v>
      </c>
      <c r="E52" s="27">
        <f>BZ_100!E50</f>
        <v>0</v>
      </c>
      <c r="F52" s="27">
        <f>BZ_100!F50</f>
        <v>0</v>
      </c>
      <c r="G52" s="24">
        <f>BZ_100!G50</f>
        <v>0</v>
      </c>
      <c r="H52" s="45">
        <f>BZ_100!H50</f>
        <v>0</v>
      </c>
      <c r="I52" s="26">
        <f>BZ_100!I50</f>
        <v>0</v>
      </c>
      <c r="J52" s="27">
        <f>BZ_100!J50</f>
        <v>0</v>
      </c>
      <c r="K52" s="27">
        <f>BZ_100!K50</f>
        <v>0</v>
      </c>
      <c r="L52" s="25">
        <f>BZ_100!L50</f>
        <v>0</v>
      </c>
      <c r="M52" s="25">
        <f>BZ_100!M50</f>
        <v>0</v>
      </c>
      <c r="N52" s="25">
        <f>BZ_100!N50</f>
        <v>0</v>
      </c>
      <c r="O52" s="25">
        <f>BZ_100!O50</f>
        <v>0</v>
      </c>
      <c r="P52" s="25">
        <f>BZ_100!P50</f>
        <v>0</v>
      </c>
      <c r="Q52" s="25">
        <f>BZ_100!Q50</f>
        <v>0</v>
      </c>
      <c r="R52" s="27">
        <f>BZ_100!R50</f>
        <v>0</v>
      </c>
      <c r="S52" s="25">
        <f>BZ_100!S50</f>
        <v>0</v>
      </c>
      <c r="T52" s="25">
        <f>BZ_100!T50</f>
        <v>0</v>
      </c>
      <c r="U52" s="36">
        <f>BZ_100!U50</f>
        <v>0</v>
      </c>
      <c r="V52" s="37">
        <f>BZ_100!V50</f>
        <v>0</v>
      </c>
      <c r="W52" s="70">
        <f t="shared" si="17"/>
        <v>0</v>
      </c>
      <c r="X52" s="71" t="e">
        <f t="shared" si="18"/>
        <v>#DIV/0!</v>
      </c>
      <c r="Y52" s="72" t="e">
        <f t="shared" si="4"/>
        <v>#DIV/0!</v>
      </c>
      <c r="Z52" s="72" t="e">
        <f t="shared" si="5"/>
        <v>#DIV/0!</v>
      </c>
      <c r="AA52" s="72" t="e">
        <f t="shared" si="6"/>
        <v>#DIV/0!</v>
      </c>
      <c r="AB52" s="73">
        <v>49</v>
      </c>
      <c r="AC52" s="74">
        <f t="shared" si="7"/>
        <v>0</v>
      </c>
      <c r="AD52" s="86">
        <f t="shared" si="16"/>
        <v>0</v>
      </c>
      <c r="AE52" s="74">
        <f t="shared" si="19"/>
        <v>0</v>
      </c>
      <c r="AF52" s="75">
        <f t="shared" si="8"/>
        <v>0</v>
      </c>
      <c r="AG52" s="75">
        <f t="shared" si="9"/>
        <v>0</v>
      </c>
      <c r="AH52" s="82">
        <f t="shared" si="15"/>
        <v>0</v>
      </c>
      <c r="AI52" s="93">
        <f t="shared" si="10"/>
        <v>0</v>
      </c>
      <c r="AJ52" s="92">
        <f t="shared" si="11"/>
        <v>0</v>
      </c>
      <c r="AK52" s="82">
        <f t="shared" si="12"/>
        <v>0</v>
      </c>
      <c r="AL52" s="82">
        <f t="shared" si="13"/>
        <v>0</v>
      </c>
      <c r="AM52" s="93">
        <f t="shared" si="14"/>
        <v>0</v>
      </c>
      <c r="AN52" s="16"/>
    </row>
    <row r="53" spans="1:40">
      <c r="A53" s="23">
        <f>BZ_100!A51</f>
        <v>0</v>
      </c>
      <c r="B53" s="27">
        <f>BZ_100!B51</f>
        <v>0</v>
      </c>
      <c r="C53" s="27">
        <f>BZ_100!C51</f>
        <v>0</v>
      </c>
      <c r="D53" s="27">
        <f>BZ_100!D51</f>
        <v>0</v>
      </c>
      <c r="E53" s="27">
        <f>BZ_100!E51</f>
        <v>0</v>
      </c>
      <c r="F53" s="27">
        <f>BZ_100!F51</f>
        <v>0</v>
      </c>
      <c r="G53" s="24">
        <f>BZ_100!G51</f>
        <v>0</v>
      </c>
      <c r="H53" s="45">
        <f>BZ_100!H51</f>
        <v>0</v>
      </c>
      <c r="I53" s="26">
        <f>BZ_100!I51</f>
        <v>0</v>
      </c>
      <c r="J53" s="27">
        <f>BZ_100!J51</f>
        <v>0</v>
      </c>
      <c r="K53" s="27">
        <f>BZ_100!K51</f>
        <v>0</v>
      </c>
      <c r="L53" s="25">
        <f>BZ_100!L51</f>
        <v>0</v>
      </c>
      <c r="M53" s="25">
        <f>BZ_100!M51</f>
        <v>0</v>
      </c>
      <c r="N53" s="25">
        <f>BZ_100!N51</f>
        <v>0</v>
      </c>
      <c r="O53" s="25">
        <f>BZ_100!O51</f>
        <v>0</v>
      </c>
      <c r="P53" s="25">
        <f>BZ_100!P51</f>
        <v>0</v>
      </c>
      <c r="Q53" s="25">
        <f>BZ_100!Q51</f>
        <v>0</v>
      </c>
      <c r="R53" s="27">
        <f>BZ_100!R51</f>
        <v>0</v>
      </c>
      <c r="S53" s="25">
        <f>BZ_100!S51</f>
        <v>0</v>
      </c>
      <c r="T53" s="25">
        <f>BZ_100!T51</f>
        <v>0</v>
      </c>
      <c r="U53" s="36">
        <f>BZ_100!U51</f>
        <v>0</v>
      </c>
      <c r="V53" s="37">
        <f>BZ_100!V51</f>
        <v>0</v>
      </c>
      <c r="W53" s="70">
        <f t="shared" si="17"/>
        <v>0</v>
      </c>
      <c r="X53" s="71" t="e">
        <f t="shared" si="18"/>
        <v>#DIV/0!</v>
      </c>
      <c r="Y53" s="72" t="e">
        <f t="shared" si="4"/>
        <v>#DIV/0!</v>
      </c>
      <c r="Z53" s="72" t="e">
        <f t="shared" si="5"/>
        <v>#DIV/0!</v>
      </c>
      <c r="AA53" s="72" t="e">
        <f t="shared" si="6"/>
        <v>#DIV/0!</v>
      </c>
      <c r="AB53" s="73">
        <v>50</v>
      </c>
      <c r="AC53" s="74">
        <f t="shared" si="7"/>
        <v>0</v>
      </c>
      <c r="AD53" s="86">
        <f t="shared" si="16"/>
        <v>0</v>
      </c>
      <c r="AE53" s="74">
        <f t="shared" si="19"/>
        <v>0</v>
      </c>
      <c r="AF53" s="75">
        <f t="shared" si="8"/>
        <v>0</v>
      </c>
      <c r="AG53" s="75">
        <f t="shared" si="9"/>
        <v>0</v>
      </c>
      <c r="AH53" s="82">
        <f t="shared" si="15"/>
        <v>0</v>
      </c>
      <c r="AI53" s="93">
        <f t="shared" si="10"/>
        <v>0</v>
      </c>
      <c r="AJ53" s="92">
        <f t="shared" si="11"/>
        <v>0</v>
      </c>
      <c r="AK53" s="82">
        <f t="shared" si="12"/>
        <v>0</v>
      </c>
      <c r="AL53" s="82">
        <f t="shared" si="13"/>
        <v>0</v>
      </c>
      <c r="AM53" s="93">
        <f t="shared" si="14"/>
        <v>0</v>
      </c>
      <c r="AN53" s="16"/>
    </row>
    <row r="54" spans="1:40">
      <c r="A54" s="23">
        <f>' BZ_W'!A2</f>
        <v>0</v>
      </c>
      <c r="B54" s="27">
        <f>' BZ_W'!B2</f>
        <v>0</v>
      </c>
      <c r="C54" s="27">
        <f>' BZ_W'!C2</f>
        <v>0</v>
      </c>
      <c r="D54" s="27">
        <f>' BZ_W'!D2</f>
        <v>0</v>
      </c>
      <c r="E54" s="27">
        <f>' BZ_W'!E2</f>
        <v>0</v>
      </c>
      <c r="F54" s="27">
        <f>' BZ_W'!F2</f>
        <v>0</v>
      </c>
      <c r="G54" s="24">
        <f>' BZ_W'!G2</f>
        <v>0</v>
      </c>
      <c r="H54" s="45">
        <f>' BZ_W'!H2</f>
        <v>0</v>
      </c>
      <c r="I54" s="26">
        <f>' BZ_W'!I2</f>
        <v>0</v>
      </c>
      <c r="J54" s="27">
        <f>' BZ_W'!J2</f>
        <v>0</v>
      </c>
      <c r="K54" s="27">
        <f>' BZ_W'!K2</f>
        <v>0</v>
      </c>
      <c r="L54" s="25">
        <f>' BZ_W'!L2</f>
        <v>0</v>
      </c>
      <c r="M54" s="25">
        <f>' BZ_W'!M2</f>
        <v>0</v>
      </c>
      <c r="N54" s="25">
        <f>' BZ_W'!N2</f>
        <v>0</v>
      </c>
      <c r="O54" s="25">
        <f>' BZ_W'!O2</f>
        <v>0</v>
      </c>
      <c r="P54" s="25">
        <f>' BZ_W'!P2</f>
        <v>0</v>
      </c>
      <c r="Q54" s="25">
        <f>' BZ_W'!Q2</f>
        <v>0</v>
      </c>
      <c r="R54" s="27">
        <f>' BZ_W'!R2</f>
        <v>0</v>
      </c>
      <c r="S54" s="25">
        <f>' BZ_W'!S2</f>
        <v>0</v>
      </c>
      <c r="T54" s="25">
        <f>' BZ_W'!T2</f>
        <v>0</v>
      </c>
      <c r="U54" s="36">
        <f>' BZ_W'!U2</f>
        <v>0</v>
      </c>
      <c r="V54" s="37">
        <f>' BZ_W'!V2</f>
        <v>0</v>
      </c>
      <c r="W54" s="70">
        <f t="shared" si="17"/>
        <v>0</v>
      </c>
      <c r="X54" s="71" t="e">
        <f t="shared" si="18"/>
        <v>#DIV/0!</v>
      </c>
      <c r="Y54" s="72" t="e">
        <f t="shared" si="4"/>
        <v>#DIV/0!</v>
      </c>
      <c r="Z54" s="72" t="e">
        <f t="shared" si="5"/>
        <v>#DIV/0!</v>
      </c>
      <c r="AA54" s="72" t="e">
        <f t="shared" si="6"/>
        <v>#DIV/0!</v>
      </c>
      <c r="AB54" s="73">
        <v>51</v>
      </c>
      <c r="AC54" s="74">
        <f t="shared" si="7"/>
        <v>0</v>
      </c>
      <c r="AD54" s="86">
        <f t="shared" si="16"/>
        <v>0</v>
      </c>
      <c r="AE54" s="74">
        <f t="shared" si="19"/>
        <v>0</v>
      </c>
      <c r="AF54" s="75">
        <f t="shared" si="8"/>
        <v>0</v>
      </c>
      <c r="AG54" s="75">
        <f t="shared" si="9"/>
        <v>0</v>
      </c>
      <c r="AH54" s="82">
        <f t="shared" si="15"/>
        <v>0</v>
      </c>
      <c r="AI54" s="93">
        <f t="shared" si="10"/>
        <v>0</v>
      </c>
      <c r="AJ54" s="92">
        <f t="shared" si="11"/>
        <v>0</v>
      </c>
      <c r="AK54" s="82">
        <f t="shared" si="12"/>
        <v>0</v>
      </c>
      <c r="AL54" s="82">
        <f t="shared" si="13"/>
        <v>0</v>
      </c>
      <c r="AM54" s="93">
        <f t="shared" si="14"/>
        <v>0</v>
      </c>
      <c r="AN54" s="16"/>
    </row>
    <row r="55" spans="1:40">
      <c r="A55" s="23">
        <f>' BZ_W'!A3</f>
        <v>0</v>
      </c>
      <c r="B55" s="27">
        <f>' BZ_W'!B3</f>
        <v>0</v>
      </c>
      <c r="C55" s="27">
        <f>' BZ_W'!C3</f>
        <v>0</v>
      </c>
      <c r="D55" s="27">
        <f>' BZ_W'!D3</f>
        <v>0</v>
      </c>
      <c r="E55" s="27">
        <f>' BZ_W'!E3</f>
        <v>0</v>
      </c>
      <c r="F55" s="27">
        <f>' BZ_W'!F3</f>
        <v>0</v>
      </c>
      <c r="G55" s="24">
        <f>' BZ_W'!G3</f>
        <v>0</v>
      </c>
      <c r="H55" s="45">
        <f>' BZ_W'!H3</f>
        <v>0</v>
      </c>
      <c r="I55" s="26">
        <f>' BZ_W'!I3</f>
        <v>0</v>
      </c>
      <c r="J55" s="27">
        <f>' BZ_W'!J3</f>
        <v>0</v>
      </c>
      <c r="K55" s="27">
        <f>' BZ_W'!K3</f>
        <v>0</v>
      </c>
      <c r="L55" s="25">
        <f>' BZ_W'!L3</f>
        <v>0</v>
      </c>
      <c r="M55" s="25">
        <f>' BZ_W'!M3</f>
        <v>0</v>
      </c>
      <c r="N55" s="25">
        <f>' BZ_W'!N3</f>
        <v>0</v>
      </c>
      <c r="O55" s="25">
        <f>' BZ_W'!O3</f>
        <v>0</v>
      </c>
      <c r="P55" s="25">
        <f>' BZ_W'!P3</f>
        <v>0</v>
      </c>
      <c r="Q55" s="25">
        <f>' BZ_W'!Q3</f>
        <v>0</v>
      </c>
      <c r="R55" s="27">
        <f>' BZ_W'!R3</f>
        <v>0</v>
      </c>
      <c r="S55" s="25">
        <f>' BZ_W'!S3</f>
        <v>0</v>
      </c>
      <c r="T55" s="25">
        <f>' BZ_W'!T3</f>
        <v>0</v>
      </c>
      <c r="U55" s="36">
        <f>' BZ_W'!U3</f>
        <v>0</v>
      </c>
      <c r="V55" s="37">
        <f>' BZ_W'!V3</f>
        <v>0</v>
      </c>
      <c r="W55" s="70">
        <f t="shared" si="17"/>
        <v>0</v>
      </c>
      <c r="X55" s="71" t="e">
        <f t="shared" si="18"/>
        <v>#DIV/0!</v>
      </c>
      <c r="Y55" s="72" t="e">
        <f t="shared" si="4"/>
        <v>#DIV/0!</v>
      </c>
      <c r="Z55" s="72" t="e">
        <f t="shared" si="5"/>
        <v>#DIV/0!</v>
      </c>
      <c r="AA55" s="72" t="e">
        <f t="shared" si="6"/>
        <v>#DIV/0!</v>
      </c>
      <c r="AB55" s="73">
        <v>52</v>
      </c>
      <c r="AC55" s="74">
        <f t="shared" si="7"/>
        <v>0</v>
      </c>
      <c r="AD55" s="86">
        <f t="shared" si="16"/>
        <v>0</v>
      </c>
      <c r="AE55" s="74">
        <f t="shared" si="19"/>
        <v>0</v>
      </c>
      <c r="AF55" s="75">
        <f t="shared" si="8"/>
        <v>0</v>
      </c>
      <c r="AG55" s="75">
        <f t="shared" si="9"/>
        <v>0</v>
      </c>
      <c r="AH55" s="82">
        <f t="shared" si="15"/>
        <v>0</v>
      </c>
      <c r="AI55" s="93">
        <f t="shared" si="10"/>
        <v>0</v>
      </c>
      <c r="AJ55" s="92">
        <f t="shared" si="11"/>
        <v>0</v>
      </c>
      <c r="AK55" s="82">
        <f t="shared" si="12"/>
        <v>0</v>
      </c>
      <c r="AL55" s="82">
        <f t="shared" si="13"/>
        <v>0</v>
      </c>
      <c r="AM55" s="93">
        <f t="shared" si="14"/>
        <v>0</v>
      </c>
      <c r="AN55" s="16"/>
    </row>
    <row r="56" spans="1:40">
      <c r="A56" s="23">
        <f>' BZ_W'!A4</f>
        <v>0</v>
      </c>
      <c r="B56" s="27">
        <f>' BZ_W'!B4</f>
        <v>0</v>
      </c>
      <c r="C56" s="27">
        <f>' BZ_W'!C4</f>
        <v>0</v>
      </c>
      <c r="D56" s="27">
        <f>' BZ_W'!D4</f>
        <v>0</v>
      </c>
      <c r="E56" s="27">
        <f>' BZ_W'!E4</f>
        <v>0</v>
      </c>
      <c r="F56" s="27">
        <f>' BZ_W'!F4</f>
        <v>0</v>
      </c>
      <c r="G56" s="24">
        <f>' BZ_W'!G4</f>
        <v>0</v>
      </c>
      <c r="H56" s="45">
        <f>' BZ_W'!H4</f>
        <v>0</v>
      </c>
      <c r="I56" s="26">
        <f>' BZ_W'!I4</f>
        <v>0</v>
      </c>
      <c r="J56" s="27">
        <f>' BZ_W'!J4</f>
        <v>0</v>
      </c>
      <c r="K56" s="27">
        <f>' BZ_W'!K4</f>
        <v>0</v>
      </c>
      <c r="L56" s="25">
        <f>' BZ_W'!L4</f>
        <v>0</v>
      </c>
      <c r="M56" s="25">
        <f>' BZ_W'!M4</f>
        <v>0</v>
      </c>
      <c r="N56" s="25">
        <f>' BZ_W'!N4</f>
        <v>0</v>
      </c>
      <c r="O56" s="25">
        <f>' BZ_W'!O4</f>
        <v>0</v>
      </c>
      <c r="P56" s="25">
        <f>' BZ_W'!P4</f>
        <v>0</v>
      </c>
      <c r="Q56" s="25">
        <f>' BZ_W'!Q4</f>
        <v>0</v>
      </c>
      <c r="R56" s="27">
        <f>' BZ_W'!R4</f>
        <v>0</v>
      </c>
      <c r="S56" s="25">
        <f>' BZ_W'!S4</f>
        <v>0</v>
      </c>
      <c r="T56" s="25">
        <f>' BZ_W'!T4</f>
        <v>0</v>
      </c>
      <c r="U56" s="36">
        <f>' BZ_W'!U4</f>
        <v>0</v>
      </c>
      <c r="V56" s="37">
        <f>' BZ_W'!V4</f>
        <v>0</v>
      </c>
      <c r="W56" s="70">
        <f t="shared" si="17"/>
        <v>0</v>
      </c>
      <c r="X56" s="71" t="e">
        <f t="shared" si="18"/>
        <v>#DIV/0!</v>
      </c>
      <c r="Y56" s="72" t="e">
        <f t="shared" si="4"/>
        <v>#DIV/0!</v>
      </c>
      <c r="Z56" s="72" t="e">
        <f t="shared" si="5"/>
        <v>#DIV/0!</v>
      </c>
      <c r="AA56" s="72" t="e">
        <f t="shared" si="6"/>
        <v>#DIV/0!</v>
      </c>
      <c r="AB56" s="73">
        <v>53</v>
      </c>
      <c r="AC56" s="74">
        <f t="shared" si="7"/>
        <v>0</v>
      </c>
      <c r="AD56" s="86">
        <f t="shared" si="16"/>
        <v>0</v>
      </c>
      <c r="AE56" s="74">
        <f t="shared" si="19"/>
        <v>0</v>
      </c>
      <c r="AF56" s="75">
        <f t="shared" si="8"/>
        <v>0</v>
      </c>
      <c r="AG56" s="75">
        <f t="shared" si="9"/>
        <v>0</v>
      </c>
      <c r="AH56" s="82">
        <f t="shared" si="15"/>
        <v>0</v>
      </c>
      <c r="AI56" s="93">
        <f t="shared" si="10"/>
        <v>0</v>
      </c>
      <c r="AJ56" s="92">
        <f t="shared" si="11"/>
        <v>0</v>
      </c>
      <c r="AK56" s="82">
        <f t="shared" si="12"/>
        <v>0</v>
      </c>
      <c r="AL56" s="82">
        <f t="shared" si="13"/>
        <v>0</v>
      </c>
      <c r="AM56" s="93">
        <f t="shared" si="14"/>
        <v>0</v>
      </c>
      <c r="AN56" s="16"/>
    </row>
    <row r="57" spans="1:40">
      <c r="A57" s="23">
        <f>' BZ_W'!A5</f>
        <v>0</v>
      </c>
      <c r="B57" s="27">
        <f>' BZ_W'!B5</f>
        <v>0</v>
      </c>
      <c r="C57" s="27">
        <f>' BZ_W'!C5</f>
        <v>0</v>
      </c>
      <c r="D57" s="27">
        <f>' BZ_W'!D5</f>
        <v>0</v>
      </c>
      <c r="E57" s="27">
        <f>' BZ_W'!E5</f>
        <v>0</v>
      </c>
      <c r="F57" s="27">
        <f>' BZ_W'!F5</f>
        <v>0</v>
      </c>
      <c r="G57" s="24">
        <f>' BZ_W'!G5</f>
        <v>0</v>
      </c>
      <c r="H57" s="45">
        <f>' BZ_W'!H5</f>
        <v>0</v>
      </c>
      <c r="I57" s="26">
        <f>' BZ_W'!I5</f>
        <v>0</v>
      </c>
      <c r="J57" s="27">
        <f>' BZ_W'!J5</f>
        <v>0</v>
      </c>
      <c r="K57" s="27">
        <f>' BZ_W'!K5</f>
        <v>0</v>
      </c>
      <c r="L57" s="25">
        <f>' BZ_W'!L5</f>
        <v>0</v>
      </c>
      <c r="M57" s="25">
        <f>' BZ_W'!M5</f>
        <v>0</v>
      </c>
      <c r="N57" s="25">
        <f>' BZ_W'!N5</f>
        <v>0</v>
      </c>
      <c r="O57" s="25">
        <f>' BZ_W'!O5</f>
        <v>0</v>
      </c>
      <c r="P57" s="25">
        <f>' BZ_W'!P5</f>
        <v>0</v>
      </c>
      <c r="Q57" s="25">
        <f>' BZ_W'!Q5</f>
        <v>0</v>
      </c>
      <c r="R57" s="27">
        <f>' BZ_W'!R5</f>
        <v>0</v>
      </c>
      <c r="S57" s="25">
        <f>' BZ_W'!S5</f>
        <v>0</v>
      </c>
      <c r="T57" s="25">
        <f>' BZ_W'!T5</f>
        <v>0</v>
      </c>
      <c r="U57" s="36">
        <f>' BZ_W'!U5</f>
        <v>0</v>
      </c>
      <c r="V57" s="37">
        <f>' BZ_W'!V5</f>
        <v>0</v>
      </c>
      <c r="W57" s="70">
        <f t="shared" si="17"/>
        <v>0</v>
      </c>
      <c r="X57" s="71" t="e">
        <f t="shared" si="18"/>
        <v>#DIV/0!</v>
      </c>
      <c r="Y57" s="72" t="e">
        <f t="shared" si="4"/>
        <v>#DIV/0!</v>
      </c>
      <c r="Z57" s="72" t="e">
        <f t="shared" si="5"/>
        <v>#DIV/0!</v>
      </c>
      <c r="AA57" s="72" t="e">
        <f t="shared" si="6"/>
        <v>#DIV/0!</v>
      </c>
      <c r="AB57" s="73">
        <v>54</v>
      </c>
      <c r="AC57" s="74">
        <f t="shared" si="7"/>
        <v>0</v>
      </c>
      <c r="AD57" s="86">
        <f t="shared" si="16"/>
        <v>0</v>
      </c>
      <c r="AE57" s="74">
        <f t="shared" si="19"/>
        <v>0</v>
      </c>
      <c r="AF57" s="75">
        <f t="shared" si="8"/>
        <v>0</v>
      </c>
      <c r="AG57" s="75">
        <f t="shared" si="9"/>
        <v>0</v>
      </c>
      <c r="AH57" s="82">
        <f t="shared" si="15"/>
        <v>0</v>
      </c>
      <c r="AI57" s="93">
        <f t="shared" si="10"/>
        <v>0</v>
      </c>
      <c r="AJ57" s="92">
        <f t="shared" si="11"/>
        <v>0</v>
      </c>
      <c r="AK57" s="82">
        <f t="shared" si="12"/>
        <v>0</v>
      </c>
      <c r="AL57" s="82">
        <f t="shared" si="13"/>
        <v>0</v>
      </c>
      <c r="AM57" s="93">
        <f t="shared" si="14"/>
        <v>0</v>
      </c>
      <c r="AN57" s="16"/>
    </row>
    <row r="58" spans="1:40">
      <c r="A58" s="23">
        <f>' BZ_W'!A6</f>
        <v>0</v>
      </c>
      <c r="B58" s="27">
        <f>' BZ_W'!B6</f>
        <v>0</v>
      </c>
      <c r="C58" s="27">
        <f>' BZ_W'!C6</f>
        <v>0</v>
      </c>
      <c r="D58" s="27">
        <f>' BZ_W'!D6</f>
        <v>0</v>
      </c>
      <c r="E58" s="27">
        <f>' BZ_W'!E6</f>
        <v>0</v>
      </c>
      <c r="F58" s="27">
        <f>' BZ_W'!F6</f>
        <v>0</v>
      </c>
      <c r="G58" s="24">
        <f>' BZ_W'!G6</f>
        <v>0</v>
      </c>
      <c r="H58" s="45">
        <f>' BZ_W'!H6</f>
        <v>0</v>
      </c>
      <c r="I58" s="26">
        <f>' BZ_W'!I6</f>
        <v>0</v>
      </c>
      <c r="J58" s="27">
        <f>' BZ_W'!J6</f>
        <v>0</v>
      </c>
      <c r="K58" s="27">
        <f>' BZ_W'!K6</f>
        <v>0</v>
      </c>
      <c r="L58" s="25">
        <f>' BZ_W'!L6</f>
        <v>0</v>
      </c>
      <c r="M58" s="25">
        <f>' BZ_W'!M6</f>
        <v>0</v>
      </c>
      <c r="N58" s="25">
        <f>' BZ_W'!N6</f>
        <v>0</v>
      </c>
      <c r="O58" s="25">
        <f>' BZ_W'!O6</f>
        <v>0</v>
      </c>
      <c r="P58" s="25">
        <f>' BZ_W'!P6</f>
        <v>0</v>
      </c>
      <c r="Q58" s="25">
        <f>' BZ_W'!Q6</f>
        <v>0</v>
      </c>
      <c r="R58" s="27">
        <f>' BZ_W'!R6</f>
        <v>0</v>
      </c>
      <c r="S58" s="25">
        <f>' BZ_W'!S6</f>
        <v>0</v>
      </c>
      <c r="T58" s="25">
        <f>' BZ_W'!T6</f>
        <v>0</v>
      </c>
      <c r="U58" s="36">
        <f>' BZ_W'!U6</f>
        <v>0</v>
      </c>
      <c r="V58" s="37">
        <f>' BZ_W'!V6</f>
        <v>0</v>
      </c>
      <c r="W58" s="70">
        <f t="shared" si="17"/>
        <v>0</v>
      </c>
      <c r="X58" s="71" t="e">
        <f t="shared" si="18"/>
        <v>#DIV/0!</v>
      </c>
      <c r="Y58" s="72" t="e">
        <f t="shared" si="4"/>
        <v>#DIV/0!</v>
      </c>
      <c r="Z58" s="72" t="e">
        <f t="shared" si="5"/>
        <v>#DIV/0!</v>
      </c>
      <c r="AA58" s="72" t="e">
        <f t="shared" si="6"/>
        <v>#DIV/0!</v>
      </c>
      <c r="AB58" s="73">
        <v>55</v>
      </c>
      <c r="AC58" s="74">
        <f t="shared" si="7"/>
        <v>0</v>
      </c>
      <c r="AD58" s="86">
        <f t="shared" si="16"/>
        <v>0</v>
      </c>
      <c r="AE58" s="74">
        <f t="shared" si="19"/>
        <v>0</v>
      </c>
      <c r="AF58" s="75">
        <f t="shared" si="8"/>
        <v>0</v>
      </c>
      <c r="AG58" s="75">
        <f t="shared" si="9"/>
        <v>0</v>
      </c>
      <c r="AH58" s="82">
        <f t="shared" si="15"/>
        <v>0</v>
      </c>
      <c r="AI58" s="93">
        <f t="shared" si="10"/>
        <v>0</v>
      </c>
      <c r="AJ58" s="92">
        <f t="shared" si="11"/>
        <v>0</v>
      </c>
      <c r="AK58" s="82">
        <f t="shared" si="12"/>
        <v>0</v>
      </c>
      <c r="AL58" s="82">
        <f t="shared" si="13"/>
        <v>0</v>
      </c>
      <c r="AM58" s="93">
        <f t="shared" si="14"/>
        <v>0</v>
      </c>
      <c r="AN58" s="16"/>
    </row>
    <row r="59" spans="1:40">
      <c r="A59" s="23">
        <f>' BZ_W'!A7</f>
        <v>0</v>
      </c>
      <c r="B59" s="27">
        <f>' BZ_W'!B7</f>
        <v>0</v>
      </c>
      <c r="C59" s="27">
        <f>' BZ_W'!C7</f>
        <v>0</v>
      </c>
      <c r="D59" s="27">
        <f>' BZ_W'!D7</f>
        <v>0</v>
      </c>
      <c r="E59" s="27">
        <f>' BZ_W'!E7</f>
        <v>0</v>
      </c>
      <c r="F59" s="27">
        <f>' BZ_W'!F7</f>
        <v>0</v>
      </c>
      <c r="G59" s="24">
        <f>' BZ_W'!G7</f>
        <v>0</v>
      </c>
      <c r="H59" s="45">
        <f>' BZ_W'!H7</f>
        <v>0</v>
      </c>
      <c r="I59" s="26">
        <f>' BZ_W'!I7</f>
        <v>0</v>
      </c>
      <c r="J59" s="27">
        <f>' BZ_W'!J7</f>
        <v>0</v>
      </c>
      <c r="K59" s="27">
        <f>' BZ_W'!K7</f>
        <v>0</v>
      </c>
      <c r="L59" s="25">
        <f>' BZ_W'!L7</f>
        <v>0</v>
      </c>
      <c r="M59" s="25">
        <f>' BZ_W'!M7</f>
        <v>0</v>
      </c>
      <c r="N59" s="25">
        <f>' BZ_W'!N7</f>
        <v>0</v>
      </c>
      <c r="O59" s="25">
        <f>' BZ_W'!O7</f>
        <v>0</v>
      </c>
      <c r="P59" s="25">
        <f>' BZ_W'!P7</f>
        <v>0</v>
      </c>
      <c r="Q59" s="25">
        <f>' BZ_W'!Q7</f>
        <v>0</v>
      </c>
      <c r="R59" s="27">
        <f>' BZ_W'!R7</f>
        <v>0</v>
      </c>
      <c r="S59" s="25">
        <f>' BZ_W'!S7</f>
        <v>0</v>
      </c>
      <c r="T59" s="25">
        <f>' BZ_W'!T7</f>
        <v>0</v>
      </c>
      <c r="U59" s="36">
        <f>' BZ_W'!U7</f>
        <v>0</v>
      </c>
      <c r="V59" s="37">
        <f>' BZ_W'!V7</f>
        <v>0</v>
      </c>
      <c r="W59" s="70">
        <f t="shared" si="17"/>
        <v>0</v>
      </c>
      <c r="X59" s="71" t="e">
        <f t="shared" si="18"/>
        <v>#DIV/0!</v>
      </c>
      <c r="Y59" s="72" t="e">
        <f t="shared" si="4"/>
        <v>#DIV/0!</v>
      </c>
      <c r="Z59" s="72" t="e">
        <f t="shared" si="5"/>
        <v>#DIV/0!</v>
      </c>
      <c r="AA59" s="72" t="e">
        <f t="shared" si="6"/>
        <v>#DIV/0!</v>
      </c>
      <c r="AB59" s="73">
        <v>56</v>
      </c>
      <c r="AC59" s="74">
        <f t="shared" si="7"/>
        <v>0</v>
      </c>
      <c r="AD59" s="86">
        <f t="shared" si="16"/>
        <v>0</v>
      </c>
      <c r="AE59" s="74">
        <f t="shared" si="19"/>
        <v>0</v>
      </c>
      <c r="AF59" s="75">
        <f t="shared" si="8"/>
        <v>0</v>
      </c>
      <c r="AG59" s="75">
        <f t="shared" si="9"/>
        <v>0</v>
      </c>
      <c r="AH59" s="82">
        <f t="shared" si="15"/>
        <v>0</v>
      </c>
      <c r="AI59" s="93">
        <f t="shared" si="10"/>
        <v>0</v>
      </c>
      <c r="AJ59" s="92">
        <f t="shared" si="11"/>
        <v>0</v>
      </c>
      <c r="AK59" s="82">
        <f t="shared" si="12"/>
        <v>0</v>
      </c>
      <c r="AL59" s="82">
        <f t="shared" si="13"/>
        <v>0</v>
      </c>
      <c r="AM59" s="93">
        <f t="shared" si="14"/>
        <v>0</v>
      </c>
      <c r="AN59" s="16"/>
    </row>
    <row r="60" spans="1:40">
      <c r="A60" s="23">
        <f>' BZ_W'!A8</f>
        <v>0</v>
      </c>
      <c r="B60" s="27">
        <f>' BZ_W'!B8</f>
        <v>0</v>
      </c>
      <c r="C60" s="27">
        <f>' BZ_W'!C8</f>
        <v>0</v>
      </c>
      <c r="D60" s="27">
        <f>' BZ_W'!D8</f>
        <v>0</v>
      </c>
      <c r="E60" s="27">
        <f>' BZ_W'!E8</f>
        <v>0</v>
      </c>
      <c r="F60" s="27">
        <f>' BZ_W'!F8</f>
        <v>0</v>
      </c>
      <c r="G60" s="24">
        <f>' BZ_W'!G8</f>
        <v>0</v>
      </c>
      <c r="H60" s="45">
        <f>' BZ_W'!H8</f>
        <v>0</v>
      </c>
      <c r="I60" s="26">
        <f>' BZ_W'!I8</f>
        <v>0</v>
      </c>
      <c r="J60" s="27">
        <f>' BZ_W'!J8</f>
        <v>0</v>
      </c>
      <c r="K60" s="27">
        <f>' BZ_W'!K8</f>
        <v>0</v>
      </c>
      <c r="L60" s="25">
        <f>' BZ_W'!L8</f>
        <v>0</v>
      </c>
      <c r="M60" s="25">
        <f>' BZ_W'!M8</f>
        <v>0</v>
      </c>
      <c r="N60" s="25">
        <f>' BZ_W'!N8</f>
        <v>0</v>
      </c>
      <c r="O60" s="25">
        <f>' BZ_W'!O8</f>
        <v>0</v>
      </c>
      <c r="P60" s="25">
        <f>' BZ_W'!P8</f>
        <v>0</v>
      </c>
      <c r="Q60" s="25">
        <f>' BZ_W'!Q8</f>
        <v>0</v>
      </c>
      <c r="R60" s="27">
        <f>' BZ_W'!R8</f>
        <v>0</v>
      </c>
      <c r="S60" s="25">
        <f>' BZ_W'!S8</f>
        <v>0</v>
      </c>
      <c r="T60" s="25">
        <f>' BZ_W'!T8</f>
        <v>0</v>
      </c>
      <c r="U60" s="36">
        <f>' BZ_W'!U8</f>
        <v>0</v>
      </c>
      <c r="V60" s="37">
        <f>' BZ_W'!V8</f>
        <v>0</v>
      </c>
      <c r="W60" s="70">
        <f t="shared" si="17"/>
        <v>0</v>
      </c>
      <c r="X60" s="71" t="e">
        <f t="shared" si="18"/>
        <v>#DIV/0!</v>
      </c>
      <c r="Y60" s="72" t="e">
        <f t="shared" si="4"/>
        <v>#DIV/0!</v>
      </c>
      <c r="Z60" s="72" t="e">
        <f t="shared" si="5"/>
        <v>#DIV/0!</v>
      </c>
      <c r="AA60" s="72" t="e">
        <f t="shared" si="6"/>
        <v>#DIV/0!</v>
      </c>
      <c r="AB60" s="73">
        <v>57</v>
      </c>
      <c r="AC60" s="74">
        <f t="shared" si="7"/>
        <v>0</v>
      </c>
      <c r="AD60" s="86">
        <f t="shared" si="16"/>
        <v>0</v>
      </c>
      <c r="AE60" s="74">
        <f t="shared" si="19"/>
        <v>0</v>
      </c>
      <c r="AF60" s="75">
        <f t="shared" si="8"/>
        <v>0</v>
      </c>
      <c r="AG60" s="75">
        <f t="shared" si="9"/>
        <v>0</v>
      </c>
      <c r="AH60" s="82">
        <f t="shared" si="15"/>
        <v>0</v>
      </c>
      <c r="AI60" s="93">
        <f t="shared" si="10"/>
        <v>0</v>
      </c>
      <c r="AJ60" s="92">
        <f t="shared" si="11"/>
        <v>0</v>
      </c>
      <c r="AK60" s="82">
        <f t="shared" si="12"/>
        <v>0</v>
      </c>
      <c r="AL60" s="82">
        <f t="shared" si="13"/>
        <v>0</v>
      </c>
      <c r="AM60" s="93">
        <f t="shared" si="14"/>
        <v>0</v>
      </c>
      <c r="AN60" s="16"/>
    </row>
    <row r="61" spans="1:40">
      <c r="A61" s="23">
        <f>' BZ_W'!A9</f>
        <v>0</v>
      </c>
      <c r="B61" s="27">
        <f>' BZ_W'!B9</f>
        <v>0</v>
      </c>
      <c r="C61" s="27">
        <f>' BZ_W'!C9</f>
        <v>0</v>
      </c>
      <c r="D61" s="27">
        <f>' BZ_W'!D9</f>
        <v>0</v>
      </c>
      <c r="E61" s="27">
        <f>' BZ_W'!E9</f>
        <v>0</v>
      </c>
      <c r="F61" s="27">
        <f>' BZ_W'!F9</f>
        <v>0</v>
      </c>
      <c r="G61" s="24">
        <f>' BZ_W'!G9</f>
        <v>0</v>
      </c>
      <c r="H61" s="45">
        <f>' BZ_W'!H9</f>
        <v>0</v>
      </c>
      <c r="I61" s="26">
        <f>' BZ_W'!I9</f>
        <v>0</v>
      </c>
      <c r="J61" s="27">
        <f>' BZ_W'!J9</f>
        <v>0</v>
      </c>
      <c r="K61" s="27">
        <f>' BZ_W'!K9</f>
        <v>0</v>
      </c>
      <c r="L61" s="25">
        <f>' BZ_W'!L9</f>
        <v>0</v>
      </c>
      <c r="M61" s="25">
        <f>' BZ_W'!M9</f>
        <v>0</v>
      </c>
      <c r="N61" s="25">
        <f>' BZ_W'!N9</f>
        <v>0</v>
      </c>
      <c r="O61" s="25">
        <f>' BZ_W'!O9</f>
        <v>0</v>
      </c>
      <c r="P61" s="25">
        <f>' BZ_W'!P9</f>
        <v>0</v>
      </c>
      <c r="Q61" s="25">
        <f>' BZ_W'!Q9</f>
        <v>0</v>
      </c>
      <c r="R61" s="27">
        <f>' BZ_W'!R9</f>
        <v>0</v>
      </c>
      <c r="S61" s="25">
        <f>' BZ_W'!S9</f>
        <v>0</v>
      </c>
      <c r="T61" s="25">
        <f>' BZ_W'!T9</f>
        <v>0</v>
      </c>
      <c r="U61" s="36">
        <f>' BZ_W'!U9</f>
        <v>0</v>
      </c>
      <c r="V61" s="37">
        <f>' BZ_W'!V9</f>
        <v>0</v>
      </c>
      <c r="W61" s="70">
        <f t="shared" si="17"/>
        <v>0</v>
      </c>
      <c r="X61" s="71" t="e">
        <f t="shared" si="18"/>
        <v>#DIV/0!</v>
      </c>
      <c r="Y61" s="72" t="e">
        <f t="shared" si="4"/>
        <v>#DIV/0!</v>
      </c>
      <c r="Z61" s="72" t="e">
        <f t="shared" si="5"/>
        <v>#DIV/0!</v>
      </c>
      <c r="AA61" s="72" t="e">
        <f t="shared" si="6"/>
        <v>#DIV/0!</v>
      </c>
      <c r="AB61" s="73">
        <v>58</v>
      </c>
      <c r="AC61" s="74">
        <f t="shared" si="7"/>
        <v>0</v>
      </c>
      <c r="AD61" s="86">
        <f t="shared" si="16"/>
        <v>0</v>
      </c>
      <c r="AE61" s="74">
        <f t="shared" si="19"/>
        <v>0</v>
      </c>
      <c r="AF61" s="75">
        <f t="shared" si="8"/>
        <v>0</v>
      </c>
      <c r="AG61" s="75">
        <f t="shared" si="9"/>
        <v>0</v>
      </c>
      <c r="AH61" s="82">
        <f t="shared" si="15"/>
        <v>0</v>
      </c>
      <c r="AI61" s="93">
        <f t="shared" si="10"/>
        <v>0</v>
      </c>
      <c r="AJ61" s="92">
        <f t="shared" si="11"/>
        <v>0</v>
      </c>
      <c r="AK61" s="82">
        <f t="shared" si="12"/>
        <v>0</v>
      </c>
      <c r="AL61" s="82">
        <f t="shared" si="13"/>
        <v>0</v>
      </c>
      <c r="AM61" s="93">
        <f t="shared" si="14"/>
        <v>0</v>
      </c>
      <c r="AN61" s="16"/>
    </row>
    <row r="62" spans="1:40">
      <c r="A62" s="23">
        <f>' BZ_W'!A10</f>
        <v>0</v>
      </c>
      <c r="B62" s="27">
        <f>' BZ_W'!B10</f>
        <v>0</v>
      </c>
      <c r="C62" s="27">
        <f>' BZ_W'!C10</f>
        <v>0</v>
      </c>
      <c r="D62" s="27">
        <f>' BZ_W'!D10</f>
        <v>0</v>
      </c>
      <c r="E62" s="27">
        <f>' BZ_W'!E10</f>
        <v>0</v>
      </c>
      <c r="F62" s="27">
        <f>' BZ_W'!F10</f>
        <v>0</v>
      </c>
      <c r="G62" s="24">
        <f>' BZ_W'!G10</f>
        <v>0</v>
      </c>
      <c r="H62" s="45">
        <f>' BZ_W'!H10</f>
        <v>0</v>
      </c>
      <c r="I62" s="26">
        <f>' BZ_W'!I10</f>
        <v>0</v>
      </c>
      <c r="J62" s="27">
        <f>' BZ_W'!J10</f>
        <v>0</v>
      </c>
      <c r="K62" s="27">
        <f>' BZ_W'!K10</f>
        <v>0</v>
      </c>
      <c r="L62" s="25">
        <f>' BZ_W'!L10</f>
        <v>0</v>
      </c>
      <c r="M62" s="25">
        <f>' BZ_W'!M10</f>
        <v>0</v>
      </c>
      <c r="N62" s="25">
        <f>' BZ_W'!N10</f>
        <v>0</v>
      </c>
      <c r="O62" s="25">
        <f>' BZ_W'!O10</f>
        <v>0</v>
      </c>
      <c r="P62" s="25">
        <f>' BZ_W'!P10</f>
        <v>0</v>
      </c>
      <c r="Q62" s="25">
        <f>' BZ_W'!Q10</f>
        <v>0</v>
      </c>
      <c r="R62" s="27">
        <f>' BZ_W'!R10</f>
        <v>0</v>
      </c>
      <c r="S62" s="25">
        <f>' BZ_W'!S10</f>
        <v>0</v>
      </c>
      <c r="T62" s="25">
        <f>' BZ_W'!T10</f>
        <v>0</v>
      </c>
      <c r="U62" s="36">
        <f>' BZ_W'!U10</f>
        <v>0</v>
      </c>
      <c r="V62" s="37">
        <f>' BZ_W'!V10</f>
        <v>0</v>
      </c>
      <c r="W62" s="70">
        <f t="shared" si="17"/>
        <v>0</v>
      </c>
      <c r="X62" s="71" t="e">
        <f t="shared" si="18"/>
        <v>#DIV/0!</v>
      </c>
      <c r="Y62" s="72" t="e">
        <f t="shared" si="4"/>
        <v>#DIV/0!</v>
      </c>
      <c r="Z62" s="72" t="e">
        <f t="shared" si="5"/>
        <v>#DIV/0!</v>
      </c>
      <c r="AA62" s="72" t="e">
        <f t="shared" si="6"/>
        <v>#DIV/0!</v>
      </c>
      <c r="AB62" s="73">
        <v>59</v>
      </c>
      <c r="AC62" s="74">
        <f t="shared" si="7"/>
        <v>0</v>
      </c>
      <c r="AD62" s="86">
        <f t="shared" si="16"/>
        <v>0</v>
      </c>
      <c r="AE62" s="74">
        <f t="shared" si="19"/>
        <v>0</v>
      </c>
      <c r="AF62" s="75">
        <f t="shared" si="8"/>
        <v>0</v>
      </c>
      <c r="AG62" s="75">
        <f t="shared" si="9"/>
        <v>0</v>
      </c>
      <c r="AH62" s="82">
        <f t="shared" si="15"/>
        <v>0</v>
      </c>
      <c r="AI62" s="93">
        <f t="shared" si="10"/>
        <v>0</v>
      </c>
      <c r="AJ62" s="92">
        <f t="shared" si="11"/>
        <v>0</v>
      </c>
      <c r="AK62" s="82">
        <f t="shared" si="12"/>
        <v>0</v>
      </c>
      <c r="AL62" s="82">
        <f t="shared" si="13"/>
        <v>0</v>
      </c>
      <c r="AM62" s="93">
        <f t="shared" si="14"/>
        <v>0</v>
      </c>
      <c r="AN62" s="16"/>
    </row>
    <row r="63" spans="1:40">
      <c r="A63" s="23">
        <f>' BZ_W'!A11</f>
        <v>0</v>
      </c>
      <c r="B63" s="27">
        <f>' BZ_W'!B11</f>
        <v>0</v>
      </c>
      <c r="C63" s="27">
        <f>' BZ_W'!C11</f>
        <v>0</v>
      </c>
      <c r="D63" s="27">
        <f>' BZ_W'!D11</f>
        <v>0</v>
      </c>
      <c r="E63" s="27">
        <f>' BZ_W'!E11</f>
        <v>0</v>
      </c>
      <c r="F63" s="27">
        <f>' BZ_W'!F11</f>
        <v>0</v>
      </c>
      <c r="G63" s="24">
        <f>' BZ_W'!G11</f>
        <v>0</v>
      </c>
      <c r="H63" s="45">
        <f>' BZ_W'!H11</f>
        <v>0</v>
      </c>
      <c r="I63" s="26">
        <f>' BZ_W'!I11</f>
        <v>0</v>
      </c>
      <c r="J63" s="27">
        <f>' BZ_W'!J11</f>
        <v>0</v>
      </c>
      <c r="K63" s="27">
        <f>' BZ_W'!K11</f>
        <v>0</v>
      </c>
      <c r="L63" s="25">
        <f>' BZ_W'!L11</f>
        <v>0</v>
      </c>
      <c r="M63" s="25">
        <f>' BZ_W'!M11</f>
        <v>0</v>
      </c>
      <c r="N63" s="25">
        <f>' BZ_W'!N11</f>
        <v>0</v>
      </c>
      <c r="O63" s="25">
        <f>' BZ_W'!O11</f>
        <v>0</v>
      </c>
      <c r="P63" s="25">
        <f>' BZ_W'!P11</f>
        <v>0</v>
      </c>
      <c r="Q63" s="25">
        <f>' BZ_W'!Q11</f>
        <v>0</v>
      </c>
      <c r="R63" s="27">
        <f>' BZ_W'!R11</f>
        <v>0</v>
      </c>
      <c r="S63" s="25">
        <f>' BZ_W'!S11</f>
        <v>0</v>
      </c>
      <c r="T63" s="25">
        <f>' BZ_W'!T11</f>
        <v>0</v>
      </c>
      <c r="U63" s="36">
        <f>' BZ_W'!U11</f>
        <v>0</v>
      </c>
      <c r="V63" s="37">
        <f>' BZ_W'!V11</f>
        <v>0</v>
      </c>
      <c r="W63" s="70">
        <f t="shared" si="17"/>
        <v>0</v>
      </c>
      <c r="X63" s="71" t="e">
        <f t="shared" si="18"/>
        <v>#DIV/0!</v>
      </c>
      <c r="Y63" s="72" t="e">
        <f t="shared" si="4"/>
        <v>#DIV/0!</v>
      </c>
      <c r="Z63" s="72" t="e">
        <f t="shared" si="5"/>
        <v>#DIV/0!</v>
      </c>
      <c r="AA63" s="72" t="e">
        <f t="shared" si="6"/>
        <v>#DIV/0!</v>
      </c>
      <c r="AB63" s="73">
        <v>60</v>
      </c>
      <c r="AC63" s="74">
        <f t="shared" si="7"/>
        <v>0</v>
      </c>
      <c r="AD63" s="86">
        <f t="shared" si="16"/>
        <v>0</v>
      </c>
      <c r="AE63" s="74">
        <f t="shared" si="19"/>
        <v>0</v>
      </c>
      <c r="AF63" s="75">
        <f t="shared" si="8"/>
        <v>0</v>
      </c>
      <c r="AG63" s="75">
        <f t="shared" si="9"/>
        <v>0</v>
      </c>
      <c r="AH63" s="82">
        <f t="shared" si="15"/>
        <v>0</v>
      </c>
      <c r="AI63" s="93">
        <f t="shared" si="10"/>
        <v>0</v>
      </c>
      <c r="AJ63" s="92">
        <f t="shared" si="11"/>
        <v>0</v>
      </c>
      <c r="AK63" s="82">
        <f t="shared" si="12"/>
        <v>0</v>
      </c>
      <c r="AL63" s="82">
        <f t="shared" si="13"/>
        <v>0</v>
      </c>
      <c r="AM63" s="93">
        <f t="shared" si="14"/>
        <v>0</v>
      </c>
      <c r="AN63" s="16"/>
    </row>
    <row r="64" spans="1:40">
      <c r="A64" s="23">
        <f>' BZ_W'!A12</f>
        <v>0</v>
      </c>
      <c r="B64" s="27">
        <f>' BZ_W'!B12</f>
        <v>0</v>
      </c>
      <c r="C64" s="27">
        <f>' BZ_W'!C12</f>
        <v>0</v>
      </c>
      <c r="D64" s="27">
        <f>' BZ_W'!D12</f>
        <v>0</v>
      </c>
      <c r="E64" s="27">
        <f>' BZ_W'!E12</f>
        <v>0</v>
      </c>
      <c r="F64" s="27">
        <f>' BZ_W'!F12</f>
        <v>0</v>
      </c>
      <c r="G64" s="24">
        <f>' BZ_W'!G12</f>
        <v>0</v>
      </c>
      <c r="H64" s="45">
        <f>' BZ_W'!H12</f>
        <v>0</v>
      </c>
      <c r="I64" s="26">
        <f>' BZ_W'!I12</f>
        <v>0</v>
      </c>
      <c r="J64" s="27">
        <f>' BZ_W'!J12</f>
        <v>0</v>
      </c>
      <c r="K64" s="27">
        <f>' BZ_W'!K12</f>
        <v>0</v>
      </c>
      <c r="L64" s="25">
        <f>' BZ_W'!L12</f>
        <v>0</v>
      </c>
      <c r="M64" s="25">
        <f>' BZ_W'!M12</f>
        <v>0</v>
      </c>
      <c r="N64" s="25">
        <f>' BZ_W'!N12</f>
        <v>0</v>
      </c>
      <c r="O64" s="25">
        <f>' BZ_W'!O12</f>
        <v>0</v>
      </c>
      <c r="P64" s="25">
        <f>' BZ_W'!P12</f>
        <v>0</v>
      </c>
      <c r="Q64" s="25">
        <f>' BZ_W'!Q12</f>
        <v>0</v>
      </c>
      <c r="R64" s="27">
        <f>' BZ_W'!R12</f>
        <v>0</v>
      </c>
      <c r="S64" s="25">
        <f>' BZ_W'!S12</f>
        <v>0</v>
      </c>
      <c r="T64" s="25">
        <f>' BZ_W'!T12</f>
        <v>0</v>
      </c>
      <c r="U64" s="36">
        <f>' BZ_W'!U12</f>
        <v>0</v>
      </c>
      <c r="V64" s="37">
        <f>' BZ_W'!V12</f>
        <v>0</v>
      </c>
      <c r="W64" s="70">
        <f t="shared" si="17"/>
        <v>0</v>
      </c>
      <c r="X64" s="71" t="e">
        <f t="shared" si="18"/>
        <v>#DIV/0!</v>
      </c>
      <c r="Y64" s="72" t="e">
        <f t="shared" si="4"/>
        <v>#DIV/0!</v>
      </c>
      <c r="Z64" s="72" t="e">
        <f t="shared" si="5"/>
        <v>#DIV/0!</v>
      </c>
      <c r="AA64" s="72" t="e">
        <f t="shared" si="6"/>
        <v>#DIV/0!</v>
      </c>
      <c r="AB64" s="73">
        <v>61</v>
      </c>
      <c r="AC64" s="74">
        <f t="shared" si="7"/>
        <v>0</v>
      </c>
      <c r="AD64" s="86">
        <f t="shared" si="16"/>
        <v>0</v>
      </c>
      <c r="AE64" s="74">
        <f t="shared" si="19"/>
        <v>0</v>
      </c>
      <c r="AF64" s="75">
        <f t="shared" si="8"/>
        <v>0</v>
      </c>
      <c r="AG64" s="75">
        <f t="shared" si="9"/>
        <v>0</v>
      </c>
      <c r="AH64" s="82">
        <f t="shared" si="15"/>
        <v>0</v>
      </c>
      <c r="AI64" s="93">
        <f t="shared" si="10"/>
        <v>0</v>
      </c>
      <c r="AJ64" s="92">
        <f t="shared" si="11"/>
        <v>0</v>
      </c>
      <c r="AK64" s="82">
        <f t="shared" si="12"/>
        <v>0</v>
      </c>
      <c r="AL64" s="82">
        <f t="shared" si="13"/>
        <v>0</v>
      </c>
      <c r="AM64" s="93">
        <f t="shared" si="14"/>
        <v>0</v>
      </c>
      <c r="AN64" s="16"/>
    </row>
    <row r="65" spans="1:40">
      <c r="A65" s="23">
        <f>' BZ_W'!A13</f>
        <v>0</v>
      </c>
      <c r="B65" s="27">
        <f>' BZ_W'!B13</f>
        <v>0</v>
      </c>
      <c r="C65" s="27">
        <f>' BZ_W'!C13</f>
        <v>0</v>
      </c>
      <c r="D65" s="27">
        <f>' BZ_W'!D13</f>
        <v>0</v>
      </c>
      <c r="E65" s="27">
        <f>' BZ_W'!E13</f>
        <v>0</v>
      </c>
      <c r="F65" s="27">
        <f>' BZ_W'!F13</f>
        <v>0</v>
      </c>
      <c r="G65" s="24">
        <f>' BZ_W'!G13</f>
        <v>0</v>
      </c>
      <c r="H65" s="45">
        <f>' BZ_W'!H13</f>
        <v>0</v>
      </c>
      <c r="I65" s="26">
        <f>' BZ_W'!I13</f>
        <v>0</v>
      </c>
      <c r="J65" s="27">
        <f>' BZ_W'!J13</f>
        <v>0</v>
      </c>
      <c r="K65" s="27">
        <f>' BZ_W'!K13</f>
        <v>0</v>
      </c>
      <c r="L65" s="25">
        <f>' BZ_W'!L13</f>
        <v>0</v>
      </c>
      <c r="M65" s="25">
        <f>' BZ_W'!M13</f>
        <v>0</v>
      </c>
      <c r="N65" s="25">
        <f>' BZ_W'!N13</f>
        <v>0</v>
      </c>
      <c r="O65" s="25">
        <f>' BZ_W'!O13</f>
        <v>0</v>
      </c>
      <c r="P65" s="25">
        <f>' BZ_W'!P13</f>
        <v>0</v>
      </c>
      <c r="Q65" s="25">
        <f>' BZ_W'!Q13</f>
        <v>0</v>
      </c>
      <c r="R65" s="27">
        <f>' BZ_W'!R13</f>
        <v>0</v>
      </c>
      <c r="S65" s="25">
        <f>' BZ_W'!S13</f>
        <v>0</v>
      </c>
      <c r="T65" s="25">
        <f>' BZ_W'!T13</f>
        <v>0</v>
      </c>
      <c r="U65" s="36">
        <f>' BZ_W'!U13</f>
        <v>0</v>
      </c>
      <c r="V65" s="37">
        <f>' BZ_W'!V13</f>
        <v>0</v>
      </c>
      <c r="W65" s="70">
        <f t="shared" si="17"/>
        <v>0</v>
      </c>
      <c r="X65" s="71" t="e">
        <f t="shared" si="18"/>
        <v>#DIV/0!</v>
      </c>
      <c r="Y65" s="72" t="e">
        <f t="shared" si="4"/>
        <v>#DIV/0!</v>
      </c>
      <c r="Z65" s="72" t="e">
        <f t="shared" si="5"/>
        <v>#DIV/0!</v>
      </c>
      <c r="AA65" s="72" t="e">
        <f t="shared" si="6"/>
        <v>#DIV/0!</v>
      </c>
      <c r="AB65" s="73">
        <v>62</v>
      </c>
      <c r="AC65" s="74">
        <f t="shared" si="7"/>
        <v>0</v>
      </c>
      <c r="AD65" s="86">
        <f t="shared" si="16"/>
        <v>0</v>
      </c>
      <c r="AE65" s="74">
        <f t="shared" si="19"/>
        <v>0</v>
      </c>
      <c r="AF65" s="75">
        <f t="shared" si="8"/>
        <v>0</v>
      </c>
      <c r="AG65" s="75">
        <f t="shared" si="9"/>
        <v>0</v>
      </c>
      <c r="AH65" s="82">
        <f t="shared" si="15"/>
        <v>0</v>
      </c>
      <c r="AI65" s="93">
        <f t="shared" si="10"/>
        <v>0</v>
      </c>
      <c r="AJ65" s="92">
        <f t="shared" si="11"/>
        <v>0</v>
      </c>
      <c r="AK65" s="82">
        <f t="shared" si="12"/>
        <v>0</v>
      </c>
      <c r="AL65" s="82">
        <f t="shared" si="13"/>
        <v>0</v>
      </c>
      <c r="AM65" s="93">
        <f t="shared" si="14"/>
        <v>0</v>
      </c>
      <c r="AN65" s="16"/>
    </row>
    <row r="66" spans="1:40">
      <c r="A66" s="23">
        <f>' BZ_W'!A14</f>
        <v>0</v>
      </c>
      <c r="B66" s="27">
        <f>' BZ_W'!B14</f>
        <v>0</v>
      </c>
      <c r="C66" s="27">
        <f>' BZ_W'!C14</f>
        <v>0</v>
      </c>
      <c r="D66" s="27">
        <f>' BZ_W'!D14</f>
        <v>0</v>
      </c>
      <c r="E66" s="27">
        <f>' BZ_W'!E14</f>
        <v>0</v>
      </c>
      <c r="F66" s="27">
        <f>' BZ_W'!F14</f>
        <v>0</v>
      </c>
      <c r="G66" s="24">
        <f>' BZ_W'!G14</f>
        <v>0</v>
      </c>
      <c r="H66" s="45">
        <f>' BZ_W'!H14</f>
        <v>0</v>
      </c>
      <c r="I66" s="26">
        <f>' BZ_W'!I14</f>
        <v>0</v>
      </c>
      <c r="J66" s="27">
        <f>' BZ_W'!J14</f>
        <v>0</v>
      </c>
      <c r="K66" s="27">
        <f>' BZ_W'!K14</f>
        <v>0</v>
      </c>
      <c r="L66" s="25">
        <f>' BZ_W'!L14</f>
        <v>0</v>
      </c>
      <c r="M66" s="25">
        <f>' BZ_W'!M14</f>
        <v>0</v>
      </c>
      <c r="N66" s="25">
        <f>' BZ_W'!N14</f>
        <v>0</v>
      </c>
      <c r="O66" s="25">
        <f>' BZ_W'!O14</f>
        <v>0</v>
      </c>
      <c r="P66" s="25">
        <f>' BZ_W'!P14</f>
        <v>0</v>
      </c>
      <c r="Q66" s="25">
        <f>' BZ_W'!Q14</f>
        <v>0</v>
      </c>
      <c r="R66" s="27">
        <f>' BZ_W'!R14</f>
        <v>0</v>
      </c>
      <c r="S66" s="25">
        <f>' BZ_W'!S14</f>
        <v>0</v>
      </c>
      <c r="T66" s="25">
        <f>' BZ_W'!T14</f>
        <v>0</v>
      </c>
      <c r="U66" s="36">
        <f>' BZ_W'!U14</f>
        <v>0</v>
      </c>
      <c r="V66" s="37">
        <f>' BZ_W'!V14</f>
        <v>0</v>
      </c>
      <c r="W66" s="70">
        <f t="shared" si="17"/>
        <v>0</v>
      </c>
      <c r="X66" s="71" t="e">
        <f t="shared" si="18"/>
        <v>#DIV/0!</v>
      </c>
      <c r="Y66" s="72" t="e">
        <f t="shared" si="4"/>
        <v>#DIV/0!</v>
      </c>
      <c r="Z66" s="72" t="e">
        <f t="shared" si="5"/>
        <v>#DIV/0!</v>
      </c>
      <c r="AA66" s="72" t="e">
        <f t="shared" si="6"/>
        <v>#DIV/0!</v>
      </c>
      <c r="AB66" s="73">
        <v>63</v>
      </c>
      <c r="AC66" s="74">
        <f t="shared" si="7"/>
        <v>0</v>
      </c>
      <c r="AD66" s="86">
        <f t="shared" si="16"/>
        <v>0</v>
      </c>
      <c r="AE66" s="74">
        <f t="shared" si="19"/>
        <v>0</v>
      </c>
      <c r="AF66" s="75">
        <f t="shared" si="8"/>
        <v>0</v>
      </c>
      <c r="AG66" s="75">
        <f t="shared" si="9"/>
        <v>0</v>
      </c>
      <c r="AH66" s="82">
        <f t="shared" si="15"/>
        <v>0</v>
      </c>
      <c r="AI66" s="93">
        <f t="shared" si="10"/>
        <v>0</v>
      </c>
      <c r="AJ66" s="92">
        <f t="shared" si="11"/>
        <v>0</v>
      </c>
      <c r="AK66" s="82">
        <f t="shared" si="12"/>
        <v>0</v>
      </c>
      <c r="AL66" s="82">
        <f t="shared" si="13"/>
        <v>0</v>
      </c>
      <c r="AM66" s="93">
        <f t="shared" si="14"/>
        <v>0</v>
      </c>
      <c r="AN66" s="16"/>
    </row>
    <row r="67" spans="1:40">
      <c r="A67" s="23">
        <f>' BZ_W'!A15</f>
        <v>0</v>
      </c>
      <c r="B67" s="27">
        <f>' BZ_W'!B15</f>
        <v>0</v>
      </c>
      <c r="C67" s="27">
        <f>' BZ_W'!C15</f>
        <v>0</v>
      </c>
      <c r="D67" s="27">
        <f>' BZ_W'!D15</f>
        <v>0</v>
      </c>
      <c r="E67" s="27">
        <f>' BZ_W'!E15</f>
        <v>0</v>
      </c>
      <c r="F67" s="27">
        <f>' BZ_W'!F15</f>
        <v>0</v>
      </c>
      <c r="G67" s="24">
        <f>' BZ_W'!G15</f>
        <v>0</v>
      </c>
      <c r="H67" s="45">
        <f>' BZ_W'!H15</f>
        <v>0</v>
      </c>
      <c r="I67" s="26">
        <f>' BZ_W'!I15</f>
        <v>0</v>
      </c>
      <c r="J67" s="27">
        <f>' BZ_W'!J15</f>
        <v>0</v>
      </c>
      <c r="K67" s="27">
        <f>' BZ_W'!K15</f>
        <v>0</v>
      </c>
      <c r="L67" s="25">
        <f>' BZ_W'!L15</f>
        <v>0</v>
      </c>
      <c r="M67" s="25">
        <f>' BZ_W'!M15</f>
        <v>0</v>
      </c>
      <c r="N67" s="25">
        <f>' BZ_W'!N15</f>
        <v>0</v>
      </c>
      <c r="O67" s="25">
        <f>' BZ_W'!O15</f>
        <v>0</v>
      </c>
      <c r="P67" s="25">
        <f>' BZ_W'!P15</f>
        <v>0</v>
      </c>
      <c r="Q67" s="25">
        <f>' BZ_W'!Q15</f>
        <v>0</v>
      </c>
      <c r="R67" s="27">
        <f>' BZ_W'!R15</f>
        <v>0</v>
      </c>
      <c r="S67" s="25">
        <f>' BZ_W'!S15</f>
        <v>0</v>
      </c>
      <c r="T67" s="25">
        <f>' BZ_W'!T15</f>
        <v>0</v>
      </c>
      <c r="U67" s="36">
        <f>' BZ_W'!U15</f>
        <v>0</v>
      </c>
      <c r="V67" s="37">
        <f>' BZ_W'!V15</f>
        <v>0</v>
      </c>
      <c r="W67" s="70">
        <f t="shared" si="17"/>
        <v>0</v>
      </c>
      <c r="X67" s="71" t="e">
        <f t="shared" si="18"/>
        <v>#DIV/0!</v>
      </c>
      <c r="Y67" s="72" t="e">
        <f t="shared" si="4"/>
        <v>#DIV/0!</v>
      </c>
      <c r="Z67" s="72" t="e">
        <f t="shared" si="5"/>
        <v>#DIV/0!</v>
      </c>
      <c r="AA67" s="72" t="e">
        <f t="shared" si="6"/>
        <v>#DIV/0!</v>
      </c>
      <c r="AB67" s="73">
        <v>64</v>
      </c>
      <c r="AC67" s="74">
        <f t="shared" si="7"/>
        <v>0</v>
      </c>
      <c r="AD67" s="86">
        <f t="shared" ref="AD67:AD103" si="20">A67</f>
        <v>0</v>
      </c>
      <c r="AE67" s="74">
        <f t="shared" si="19"/>
        <v>0</v>
      </c>
      <c r="AF67" s="75">
        <f t="shared" si="8"/>
        <v>0</v>
      </c>
      <c r="AG67" s="75">
        <f t="shared" si="9"/>
        <v>0</v>
      </c>
      <c r="AH67" s="82">
        <f t="shared" si="15"/>
        <v>0</v>
      </c>
      <c r="AI67" s="93">
        <f t="shared" si="10"/>
        <v>0</v>
      </c>
      <c r="AJ67" s="92">
        <f t="shared" si="11"/>
        <v>0</v>
      </c>
      <c r="AK67" s="82">
        <f t="shared" si="12"/>
        <v>0</v>
      </c>
      <c r="AL67" s="82">
        <f t="shared" si="13"/>
        <v>0</v>
      </c>
      <c r="AM67" s="93">
        <f t="shared" si="14"/>
        <v>0</v>
      </c>
      <c r="AN67" s="16"/>
    </row>
    <row r="68" spans="1:40">
      <c r="A68" s="23">
        <f>' BZ_W'!A16</f>
        <v>0</v>
      </c>
      <c r="B68" s="27">
        <f>' BZ_W'!B16</f>
        <v>0</v>
      </c>
      <c r="C68" s="27">
        <f>' BZ_W'!C16</f>
        <v>0</v>
      </c>
      <c r="D68" s="27">
        <f>' BZ_W'!D16</f>
        <v>0</v>
      </c>
      <c r="E68" s="27">
        <f>' BZ_W'!E16</f>
        <v>0</v>
      </c>
      <c r="F68" s="27">
        <f>' BZ_W'!F16</f>
        <v>0</v>
      </c>
      <c r="G68" s="24">
        <f>' BZ_W'!G16</f>
        <v>0</v>
      </c>
      <c r="H68" s="45">
        <f>' BZ_W'!H16</f>
        <v>0</v>
      </c>
      <c r="I68" s="26">
        <f>' BZ_W'!I16</f>
        <v>0</v>
      </c>
      <c r="J68" s="27">
        <f>' BZ_W'!J16</f>
        <v>0</v>
      </c>
      <c r="K68" s="27">
        <f>' BZ_W'!K16</f>
        <v>0</v>
      </c>
      <c r="L68" s="25">
        <f>' BZ_W'!L16</f>
        <v>0</v>
      </c>
      <c r="M68" s="25">
        <f>' BZ_W'!M16</f>
        <v>0</v>
      </c>
      <c r="N68" s="25">
        <f>' BZ_W'!N16</f>
        <v>0</v>
      </c>
      <c r="O68" s="25">
        <f>' BZ_W'!O16</f>
        <v>0</v>
      </c>
      <c r="P68" s="25">
        <f>' BZ_W'!P16</f>
        <v>0</v>
      </c>
      <c r="Q68" s="25">
        <f>' BZ_W'!Q16</f>
        <v>0</v>
      </c>
      <c r="R68" s="27">
        <f>' BZ_W'!R16</f>
        <v>0</v>
      </c>
      <c r="S68" s="25">
        <f>' BZ_W'!S16</f>
        <v>0</v>
      </c>
      <c r="T68" s="25">
        <f>' BZ_W'!T16</f>
        <v>0</v>
      </c>
      <c r="U68" s="36">
        <f>' BZ_W'!U16</f>
        <v>0</v>
      </c>
      <c r="V68" s="37">
        <f>' BZ_W'!V16</f>
        <v>0</v>
      </c>
      <c r="W68" s="70">
        <f t="shared" ref="W68:W103" si="21">A68</f>
        <v>0</v>
      </c>
      <c r="X68" s="71" t="e">
        <f t="shared" ref="X68:X103" si="22">R68/G68</f>
        <v>#DIV/0!</v>
      </c>
      <c r="Y68" s="72" t="e">
        <f t="shared" si="4"/>
        <v>#DIV/0!</v>
      </c>
      <c r="Z68" s="72" t="e">
        <f t="shared" si="5"/>
        <v>#DIV/0!</v>
      </c>
      <c r="AA68" s="72" t="e">
        <f t="shared" si="6"/>
        <v>#DIV/0!</v>
      </c>
      <c r="AB68" s="73">
        <v>65</v>
      </c>
      <c r="AC68" s="74">
        <f t="shared" si="7"/>
        <v>0</v>
      </c>
      <c r="AD68" s="86">
        <f t="shared" si="20"/>
        <v>0</v>
      </c>
      <c r="AE68" s="74">
        <f t="shared" ref="AE68:AE103" si="23">B68</f>
        <v>0</v>
      </c>
      <c r="AF68" s="75">
        <f t="shared" si="8"/>
        <v>0</v>
      </c>
      <c r="AG68" s="75">
        <f t="shared" si="9"/>
        <v>0</v>
      </c>
      <c r="AH68" s="82">
        <f t="shared" si="15"/>
        <v>0</v>
      </c>
      <c r="AI68" s="93">
        <f t="shared" si="10"/>
        <v>0</v>
      </c>
      <c r="AJ68" s="92">
        <f t="shared" si="11"/>
        <v>0</v>
      </c>
      <c r="AK68" s="82">
        <f t="shared" si="12"/>
        <v>0</v>
      </c>
      <c r="AL68" s="82">
        <f t="shared" si="13"/>
        <v>0</v>
      </c>
      <c r="AM68" s="93">
        <f t="shared" si="14"/>
        <v>0</v>
      </c>
      <c r="AN68" s="16"/>
    </row>
    <row r="69" spans="1:40">
      <c r="A69" s="23">
        <f>' BZ_W'!A17</f>
        <v>0</v>
      </c>
      <c r="B69" s="27">
        <f>' BZ_W'!B17</f>
        <v>0</v>
      </c>
      <c r="C69" s="27">
        <f>' BZ_W'!C17</f>
        <v>0</v>
      </c>
      <c r="D69" s="27">
        <f>' BZ_W'!D17</f>
        <v>0</v>
      </c>
      <c r="E69" s="27">
        <f>' BZ_W'!E17</f>
        <v>0</v>
      </c>
      <c r="F69" s="27">
        <f>' BZ_W'!F17</f>
        <v>0</v>
      </c>
      <c r="G69" s="24">
        <f>' BZ_W'!G17</f>
        <v>0</v>
      </c>
      <c r="H69" s="45">
        <f>' BZ_W'!H17</f>
        <v>0</v>
      </c>
      <c r="I69" s="26">
        <f>' BZ_W'!I17</f>
        <v>0</v>
      </c>
      <c r="J69" s="27">
        <f>' BZ_W'!J17</f>
        <v>0</v>
      </c>
      <c r="K69" s="27">
        <f>' BZ_W'!K17</f>
        <v>0</v>
      </c>
      <c r="L69" s="25">
        <f>' BZ_W'!L17</f>
        <v>0</v>
      </c>
      <c r="M69" s="25">
        <f>' BZ_W'!M17</f>
        <v>0</v>
      </c>
      <c r="N69" s="25">
        <f>' BZ_W'!N17</f>
        <v>0</v>
      </c>
      <c r="O69" s="25">
        <f>' BZ_W'!O17</f>
        <v>0</v>
      </c>
      <c r="P69" s="25">
        <f>' BZ_W'!P17</f>
        <v>0</v>
      </c>
      <c r="Q69" s="25">
        <f>' BZ_W'!Q17</f>
        <v>0</v>
      </c>
      <c r="R69" s="27">
        <f>' BZ_W'!R17</f>
        <v>0</v>
      </c>
      <c r="S69" s="25">
        <f>' BZ_W'!S17</f>
        <v>0</v>
      </c>
      <c r="T69" s="25">
        <f>' BZ_W'!T17</f>
        <v>0</v>
      </c>
      <c r="U69" s="36">
        <f>' BZ_W'!U17</f>
        <v>0</v>
      </c>
      <c r="V69" s="37">
        <f>' BZ_W'!V17</f>
        <v>0</v>
      </c>
      <c r="W69" s="70">
        <f t="shared" si="21"/>
        <v>0</v>
      </c>
      <c r="X69" s="71" t="e">
        <f t="shared" si="22"/>
        <v>#DIV/0!</v>
      </c>
      <c r="Y69" s="72" t="e">
        <f t="shared" ref="Y69:Y103" si="24">E69/X69</f>
        <v>#DIV/0!</v>
      </c>
      <c r="Z69" s="72" t="e">
        <f t="shared" ref="Z69:Z103" si="25">F69/X69</f>
        <v>#DIV/0!</v>
      </c>
      <c r="AA69" s="72" t="e">
        <f t="shared" ref="AA69:AA103" si="26">Y69-Z69</f>
        <v>#DIV/0!</v>
      </c>
      <c r="AB69" s="73">
        <v>66</v>
      </c>
      <c r="AC69" s="74">
        <f t="shared" ref="AC69:AC103" si="27">AVERAGE(B69:D69)</f>
        <v>0</v>
      </c>
      <c r="AD69" s="86">
        <f t="shared" si="20"/>
        <v>0</v>
      </c>
      <c r="AE69" s="74">
        <f t="shared" si="23"/>
        <v>0</v>
      </c>
      <c r="AF69" s="75">
        <f t="shared" ref="AF69:AF103" si="28">AE69*$AS$1</f>
        <v>0</v>
      </c>
      <c r="AG69" s="75">
        <f t="shared" ref="AG69:AG103" si="29">AE69*($AR$2/270)</f>
        <v>0</v>
      </c>
      <c r="AH69" s="82">
        <f t="shared" si="15"/>
        <v>0</v>
      </c>
      <c r="AI69" s="93">
        <f t="shared" ref="AI69:AI103" si="30">F69</f>
        <v>0</v>
      </c>
      <c r="AJ69" s="92">
        <f t="shared" ref="AJ69:AJ103" si="31">AH69*$AQ$1</f>
        <v>0</v>
      </c>
      <c r="AK69" s="82">
        <f t="shared" ref="AK69:AK103" si="32">AI69*$AQ$1</f>
        <v>0</v>
      </c>
      <c r="AL69" s="82">
        <f t="shared" ref="AL69:AL103" si="33">AH69*($AP$2/270)</f>
        <v>0</v>
      </c>
      <c r="AM69" s="93">
        <f t="shared" ref="AM69:AM103" si="34">AI69*($AP$2/270)</f>
        <v>0</v>
      </c>
      <c r="AN69" s="16"/>
    </row>
    <row r="70" spans="1:40">
      <c r="A70" s="23">
        <f>' BZ_W'!A18</f>
        <v>0</v>
      </c>
      <c r="B70" s="27">
        <f>' BZ_W'!B18</f>
        <v>0</v>
      </c>
      <c r="C70" s="27">
        <f>' BZ_W'!C18</f>
        <v>0</v>
      </c>
      <c r="D70" s="27">
        <f>' BZ_W'!D18</f>
        <v>0</v>
      </c>
      <c r="E70" s="27">
        <f>' BZ_W'!E18</f>
        <v>0</v>
      </c>
      <c r="F70" s="27">
        <f>' BZ_W'!F18</f>
        <v>0</v>
      </c>
      <c r="G70" s="24">
        <f>' BZ_W'!G18</f>
        <v>0</v>
      </c>
      <c r="H70" s="45">
        <f>' BZ_W'!H18</f>
        <v>0</v>
      </c>
      <c r="I70" s="26">
        <f>' BZ_W'!I18</f>
        <v>0</v>
      </c>
      <c r="J70" s="27">
        <f>' BZ_W'!J18</f>
        <v>0</v>
      </c>
      <c r="K70" s="27">
        <f>' BZ_W'!K18</f>
        <v>0</v>
      </c>
      <c r="L70" s="25">
        <f>' BZ_W'!L18</f>
        <v>0</v>
      </c>
      <c r="M70" s="25">
        <f>' BZ_W'!M18</f>
        <v>0</v>
      </c>
      <c r="N70" s="25">
        <f>' BZ_W'!N18</f>
        <v>0</v>
      </c>
      <c r="O70" s="25">
        <f>' BZ_W'!O18</f>
        <v>0</v>
      </c>
      <c r="P70" s="25">
        <f>' BZ_W'!P18</f>
        <v>0</v>
      </c>
      <c r="Q70" s="25">
        <f>' BZ_W'!Q18</f>
        <v>0</v>
      </c>
      <c r="R70" s="27">
        <f>' BZ_W'!R18</f>
        <v>0</v>
      </c>
      <c r="S70" s="25">
        <f>' BZ_W'!S18</f>
        <v>0</v>
      </c>
      <c r="T70" s="25">
        <f>' BZ_W'!T18</f>
        <v>0</v>
      </c>
      <c r="U70" s="36">
        <f>' BZ_W'!U18</f>
        <v>0</v>
      </c>
      <c r="V70" s="37">
        <f>' BZ_W'!V18</f>
        <v>0</v>
      </c>
      <c r="W70" s="70">
        <f t="shared" si="21"/>
        <v>0</v>
      </c>
      <c r="X70" s="71" t="e">
        <f t="shared" si="22"/>
        <v>#DIV/0!</v>
      </c>
      <c r="Y70" s="72" t="e">
        <f t="shared" si="24"/>
        <v>#DIV/0!</v>
      </c>
      <c r="Z70" s="72" t="e">
        <f t="shared" si="25"/>
        <v>#DIV/0!</v>
      </c>
      <c r="AA70" s="72" t="e">
        <f t="shared" si="26"/>
        <v>#DIV/0!</v>
      </c>
      <c r="AB70" s="73">
        <v>67</v>
      </c>
      <c r="AC70" s="74">
        <f t="shared" si="27"/>
        <v>0</v>
      </c>
      <c r="AD70" s="86">
        <f t="shared" si="20"/>
        <v>0</v>
      </c>
      <c r="AE70" s="74">
        <f t="shared" si="23"/>
        <v>0</v>
      </c>
      <c r="AF70" s="75">
        <f t="shared" si="28"/>
        <v>0</v>
      </c>
      <c r="AG70" s="75">
        <f t="shared" si="29"/>
        <v>0</v>
      </c>
      <c r="AH70" s="82">
        <f t="shared" ref="AH70:AH103" si="35">E70</f>
        <v>0</v>
      </c>
      <c r="AI70" s="93">
        <f t="shared" si="30"/>
        <v>0</v>
      </c>
      <c r="AJ70" s="92">
        <f t="shared" si="31"/>
        <v>0</v>
      </c>
      <c r="AK70" s="82">
        <f t="shared" si="32"/>
        <v>0</v>
      </c>
      <c r="AL70" s="82">
        <f t="shared" si="33"/>
        <v>0</v>
      </c>
      <c r="AM70" s="93">
        <f t="shared" si="34"/>
        <v>0</v>
      </c>
      <c r="AN70" s="16"/>
    </row>
    <row r="71" spans="1:40">
      <c r="A71" s="23">
        <f>' BZ_W'!A19</f>
        <v>0</v>
      </c>
      <c r="B71" s="27">
        <f>' BZ_W'!B19</f>
        <v>0</v>
      </c>
      <c r="C71" s="27">
        <f>' BZ_W'!C19</f>
        <v>0</v>
      </c>
      <c r="D71" s="27">
        <f>' BZ_W'!D19</f>
        <v>0</v>
      </c>
      <c r="E71" s="27">
        <f>' BZ_W'!E19</f>
        <v>0</v>
      </c>
      <c r="F71" s="27">
        <f>' BZ_W'!F19</f>
        <v>0</v>
      </c>
      <c r="G71" s="24">
        <f>' BZ_W'!G19</f>
        <v>0</v>
      </c>
      <c r="H71" s="45">
        <f>' BZ_W'!H19</f>
        <v>0</v>
      </c>
      <c r="I71" s="26">
        <f>' BZ_W'!I19</f>
        <v>0</v>
      </c>
      <c r="J71" s="27">
        <f>' BZ_W'!J19</f>
        <v>0</v>
      </c>
      <c r="K71" s="27">
        <f>' BZ_W'!K19</f>
        <v>0</v>
      </c>
      <c r="L71" s="25">
        <f>' BZ_W'!L19</f>
        <v>0</v>
      </c>
      <c r="M71" s="25">
        <f>' BZ_W'!M19</f>
        <v>0</v>
      </c>
      <c r="N71" s="25">
        <f>' BZ_W'!N19</f>
        <v>0</v>
      </c>
      <c r="O71" s="25">
        <f>' BZ_W'!O19</f>
        <v>0</v>
      </c>
      <c r="P71" s="25">
        <f>' BZ_W'!P19</f>
        <v>0</v>
      </c>
      <c r="Q71" s="25">
        <f>' BZ_W'!Q19</f>
        <v>0</v>
      </c>
      <c r="R71" s="27">
        <f>' BZ_W'!R19</f>
        <v>0</v>
      </c>
      <c r="S71" s="25">
        <f>' BZ_W'!S19</f>
        <v>0</v>
      </c>
      <c r="T71" s="25">
        <f>' BZ_W'!T19</f>
        <v>0</v>
      </c>
      <c r="U71" s="36">
        <f>' BZ_W'!U19</f>
        <v>0</v>
      </c>
      <c r="V71" s="37">
        <f>' BZ_W'!V19</f>
        <v>0</v>
      </c>
      <c r="W71" s="70">
        <f t="shared" si="21"/>
        <v>0</v>
      </c>
      <c r="X71" s="71" t="e">
        <f t="shared" si="22"/>
        <v>#DIV/0!</v>
      </c>
      <c r="Y71" s="72" t="e">
        <f t="shared" si="24"/>
        <v>#DIV/0!</v>
      </c>
      <c r="Z71" s="72" t="e">
        <f t="shared" si="25"/>
        <v>#DIV/0!</v>
      </c>
      <c r="AA71" s="72" t="e">
        <f t="shared" si="26"/>
        <v>#DIV/0!</v>
      </c>
      <c r="AB71" s="73">
        <v>68</v>
      </c>
      <c r="AC71" s="74">
        <f t="shared" si="27"/>
        <v>0</v>
      </c>
      <c r="AD71" s="86">
        <f t="shared" si="20"/>
        <v>0</v>
      </c>
      <c r="AE71" s="74">
        <f t="shared" si="23"/>
        <v>0</v>
      </c>
      <c r="AF71" s="75">
        <f t="shared" si="28"/>
        <v>0</v>
      </c>
      <c r="AG71" s="75">
        <f t="shared" si="29"/>
        <v>0</v>
      </c>
      <c r="AH71" s="82">
        <f t="shared" si="35"/>
        <v>0</v>
      </c>
      <c r="AI71" s="93">
        <f t="shared" si="30"/>
        <v>0</v>
      </c>
      <c r="AJ71" s="92">
        <f t="shared" si="31"/>
        <v>0</v>
      </c>
      <c r="AK71" s="82">
        <f t="shared" si="32"/>
        <v>0</v>
      </c>
      <c r="AL71" s="82">
        <f t="shared" si="33"/>
        <v>0</v>
      </c>
      <c r="AM71" s="93">
        <f t="shared" si="34"/>
        <v>0</v>
      </c>
      <c r="AN71" s="16"/>
    </row>
    <row r="72" spans="1:40">
      <c r="A72" s="23">
        <f>' BZ_W'!A20</f>
        <v>0</v>
      </c>
      <c r="B72" s="27">
        <f>' BZ_W'!B20</f>
        <v>0</v>
      </c>
      <c r="C72" s="27">
        <f>' BZ_W'!C20</f>
        <v>0</v>
      </c>
      <c r="D72" s="27">
        <f>' BZ_W'!D20</f>
        <v>0</v>
      </c>
      <c r="E72" s="27">
        <f>' BZ_W'!E20</f>
        <v>0</v>
      </c>
      <c r="F72" s="27">
        <f>' BZ_W'!F20</f>
        <v>0</v>
      </c>
      <c r="G72" s="24">
        <f>' BZ_W'!G20</f>
        <v>0</v>
      </c>
      <c r="H72" s="45">
        <f>' BZ_W'!H20</f>
        <v>0</v>
      </c>
      <c r="I72" s="26">
        <f>' BZ_W'!I20</f>
        <v>0</v>
      </c>
      <c r="J72" s="27">
        <f>' BZ_W'!J20</f>
        <v>0</v>
      </c>
      <c r="K72" s="27">
        <f>' BZ_W'!K20</f>
        <v>0</v>
      </c>
      <c r="L72" s="25">
        <f>' BZ_W'!L20</f>
        <v>0</v>
      </c>
      <c r="M72" s="25">
        <f>' BZ_W'!M20</f>
        <v>0</v>
      </c>
      <c r="N72" s="25">
        <f>' BZ_W'!N20</f>
        <v>0</v>
      </c>
      <c r="O72" s="25">
        <f>' BZ_W'!O20</f>
        <v>0</v>
      </c>
      <c r="P72" s="25">
        <f>' BZ_W'!P20</f>
        <v>0</v>
      </c>
      <c r="Q72" s="25">
        <f>' BZ_W'!Q20</f>
        <v>0</v>
      </c>
      <c r="R72" s="27">
        <f>' BZ_W'!R20</f>
        <v>0</v>
      </c>
      <c r="S72" s="25">
        <f>' BZ_W'!S20</f>
        <v>0</v>
      </c>
      <c r="T72" s="25">
        <f>' BZ_W'!T20</f>
        <v>0</v>
      </c>
      <c r="U72" s="36">
        <f>' BZ_W'!U20</f>
        <v>0</v>
      </c>
      <c r="V72" s="37">
        <f>' BZ_W'!V20</f>
        <v>0</v>
      </c>
      <c r="W72" s="70">
        <f t="shared" si="21"/>
        <v>0</v>
      </c>
      <c r="X72" s="71" t="e">
        <f t="shared" si="22"/>
        <v>#DIV/0!</v>
      </c>
      <c r="Y72" s="72" t="e">
        <f t="shared" si="24"/>
        <v>#DIV/0!</v>
      </c>
      <c r="Z72" s="72" t="e">
        <f t="shared" si="25"/>
        <v>#DIV/0!</v>
      </c>
      <c r="AA72" s="72" t="e">
        <f t="shared" si="26"/>
        <v>#DIV/0!</v>
      </c>
      <c r="AB72" s="73">
        <v>69</v>
      </c>
      <c r="AC72" s="74">
        <f t="shared" si="27"/>
        <v>0</v>
      </c>
      <c r="AD72" s="86">
        <f t="shared" si="20"/>
        <v>0</v>
      </c>
      <c r="AE72" s="74">
        <f t="shared" si="23"/>
        <v>0</v>
      </c>
      <c r="AF72" s="75">
        <f t="shared" si="28"/>
        <v>0</v>
      </c>
      <c r="AG72" s="75">
        <f t="shared" si="29"/>
        <v>0</v>
      </c>
      <c r="AH72" s="82">
        <f t="shared" si="35"/>
        <v>0</v>
      </c>
      <c r="AI72" s="93">
        <f t="shared" si="30"/>
        <v>0</v>
      </c>
      <c r="AJ72" s="92">
        <f t="shared" si="31"/>
        <v>0</v>
      </c>
      <c r="AK72" s="82">
        <f t="shared" si="32"/>
        <v>0</v>
      </c>
      <c r="AL72" s="82">
        <f t="shared" si="33"/>
        <v>0</v>
      </c>
      <c r="AM72" s="93">
        <f t="shared" si="34"/>
        <v>0</v>
      </c>
      <c r="AN72" s="16"/>
    </row>
    <row r="73" spans="1:40">
      <c r="A73" s="23">
        <f>' BZ_W'!A21</f>
        <v>0</v>
      </c>
      <c r="B73" s="27">
        <f>' BZ_W'!B21</f>
        <v>0</v>
      </c>
      <c r="C73" s="27">
        <f>' BZ_W'!C21</f>
        <v>0</v>
      </c>
      <c r="D73" s="27">
        <f>' BZ_W'!D21</f>
        <v>0</v>
      </c>
      <c r="E73" s="27">
        <f>' BZ_W'!E21</f>
        <v>0</v>
      </c>
      <c r="F73" s="27">
        <f>' BZ_W'!F21</f>
        <v>0</v>
      </c>
      <c r="G73" s="24">
        <f>' BZ_W'!G21</f>
        <v>0</v>
      </c>
      <c r="H73" s="45">
        <f>' BZ_W'!H21</f>
        <v>0</v>
      </c>
      <c r="I73" s="26">
        <f>' BZ_W'!I21</f>
        <v>0</v>
      </c>
      <c r="J73" s="27">
        <f>' BZ_W'!J21</f>
        <v>0</v>
      </c>
      <c r="K73" s="27">
        <f>' BZ_W'!K21</f>
        <v>0</v>
      </c>
      <c r="L73" s="25">
        <f>' BZ_W'!L21</f>
        <v>0</v>
      </c>
      <c r="M73" s="25">
        <f>' BZ_W'!M21</f>
        <v>0</v>
      </c>
      <c r="N73" s="25">
        <f>' BZ_W'!N21</f>
        <v>0</v>
      </c>
      <c r="O73" s="25">
        <f>' BZ_W'!O21</f>
        <v>0</v>
      </c>
      <c r="P73" s="25">
        <f>' BZ_W'!P21</f>
        <v>0</v>
      </c>
      <c r="Q73" s="25">
        <f>' BZ_W'!Q21</f>
        <v>0</v>
      </c>
      <c r="R73" s="27">
        <f>' BZ_W'!R21</f>
        <v>0</v>
      </c>
      <c r="S73" s="25">
        <f>' BZ_W'!S21</f>
        <v>0</v>
      </c>
      <c r="T73" s="25">
        <f>' BZ_W'!T21</f>
        <v>0</v>
      </c>
      <c r="U73" s="36">
        <f>' BZ_W'!U21</f>
        <v>0</v>
      </c>
      <c r="V73" s="37">
        <f>' BZ_W'!V21</f>
        <v>0</v>
      </c>
      <c r="W73" s="70">
        <f t="shared" si="21"/>
        <v>0</v>
      </c>
      <c r="X73" s="71" t="e">
        <f t="shared" si="22"/>
        <v>#DIV/0!</v>
      </c>
      <c r="Y73" s="72" t="e">
        <f t="shared" si="24"/>
        <v>#DIV/0!</v>
      </c>
      <c r="Z73" s="72" t="e">
        <f t="shared" si="25"/>
        <v>#DIV/0!</v>
      </c>
      <c r="AA73" s="72" t="e">
        <f t="shared" si="26"/>
        <v>#DIV/0!</v>
      </c>
      <c r="AB73" s="73">
        <v>70</v>
      </c>
      <c r="AC73" s="74">
        <f t="shared" si="27"/>
        <v>0</v>
      </c>
      <c r="AD73" s="86">
        <f t="shared" si="20"/>
        <v>0</v>
      </c>
      <c r="AE73" s="74">
        <f t="shared" si="23"/>
        <v>0</v>
      </c>
      <c r="AF73" s="75">
        <f t="shared" si="28"/>
        <v>0</v>
      </c>
      <c r="AG73" s="75">
        <f t="shared" si="29"/>
        <v>0</v>
      </c>
      <c r="AH73" s="82">
        <f t="shared" si="35"/>
        <v>0</v>
      </c>
      <c r="AI73" s="93">
        <f t="shared" si="30"/>
        <v>0</v>
      </c>
      <c r="AJ73" s="92">
        <f t="shared" si="31"/>
        <v>0</v>
      </c>
      <c r="AK73" s="82">
        <f t="shared" si="32"/>
        <v>0</v>
      </c>
      <c r="AL73" s="82">
        <f t="shared" si="33"/>
        <v>0</v>
      </c>
      <c r="AM73" s="93">
        <f t="shared" si="34"/>
        <v>0</v>
      </c>
      <c r="AN73" s="16"/>
    </row>
    <row r="74" spans="1:40">
      <c r="A74" s="23">
        <f>' BZ_W'!A22</f>
        <v>0</v>
      </c>
      <c r="B74" s="27">
        <f>' BZ_W'!B22</f>
        <v>0</v>
      </c>
      <c r="C74" s="27">
        <f>' BZ_W'!C22</f>
        <v>0</v>
      </c>
      <c r="D74" s="27">
        <f>' BZ_W'!D22</f>
        <v>0</v>
      </c>
      <c r="E74" s="27">
        <f>' BZ_W'!E22</f>
        <v>0</v>
      </c>
      <c r="F74" s="27">
        <f>' BZ_W'!F22</f>
        <v>0</v>
      </c>
      <c r="G74" s="24">
        <f>' BZ_W'!G22</f>
        <v>0</v>
      </c>
      <c r="H74" s="45">
        <f>' BZ_W'!H22</f>
        <v>0</v>
      </c>
      <c r="I74" s="26">
        <f>' BZ_W'!I22</f>
        <v>0</v>
      </c>
      <c r="J74" s="27">
        <f>' BZ_W'!J22</f>
        <v>0</v>
      </c>
      <c r="K74" s="27">
        <f>' BZ_W'!K22</f>
        <v>0</v>
      </c>
      <c r="L74" s="25">
        <f>' BZ_W'!L22</f>
        <v>0</v>
      </c>
      <c r="M74" s="25">
        <f>' BZ_W'!M22</f>
        <v>0</v>
      </c>
      <c r="N74" s="25">
        <f>' BZ_W'!N22</f>
        <v>0</v>
      </c>
      <c r="O74" s="25">
        <f>' BZ_W'!O22</f>
        <v>0</v>
      </c>
      <c r="P74" s="25">
        <f>' BZ_W'!P22</f>
        <v>0</v>
      </c>
      <c r="Q74" s="25">
        <f>' BZ_W'!Q22</f>
        <v>0</v>
      </c>
      <c r="R74" s="27">
        <f>' BZ_W'!R22</f>
        <v>0</v>
      </c>
      <c r="S74" s="25">
        <f>' BZ_W'!S22</f>
        <v>0</v>
      </c>
      <c r="T74" s="25">
        <f>' BZ_W'!T22</f>
        <v>0</v>
      </c>
      <c r="U74" s="36">
        <f>' BZ_W'!U22</f>
        <v>0</v>
      </c>
      <c r="V74" s="37">
        <f>' BZ_W'!V22</f>
        <v>0</v>
      </c>
      <c r="W74" s="70">
        <f t="shared" si="21"/>
        <v>0</v>
      </c>
      <c r="X74" s="71" t="e">
        <f t="shared" si="22"/>
        <v>#DIV/0!</v>
      </c>
      <c r="Y74" s="72" t="e">
        <f t="shared" si="24"/>
        <v>#DIV/0!</v>
      </c>
      <c r="Z74" s="72" t="e">
        <f t="shared" si="25"/>
        <v>#DIV/0!</v>
      </c>
      <c r="AA74" s="72" t="e">
        <f t="shared" si="26"/>
        <v>#DIV/0!</v>
      </c>
      <c r="AB74" s="73">
        <v>71</v>
      </c>
      <c r="AC74" s="74">
        <f t="shared" si="27"/>
        <v>0</v>
      </c>
      <c r="AD74" s="86">
        <f t="shared" si="20"/>
        <v>0</v>
      </c>
      <c r="AE74" s="74">
        <f t="shared" si="23"/>
        <v>0</v>
      </c>
      <c r="AF74" s="75">
        <f t="shared" si="28"/>
        <v>0</v>
      </c>
      <c r="AG74" s="75">
        <f t="shared" si="29"/>
        <v>0</v>
      </c>
      <c r="AH74" s="82">
        <f t="shared" si="35"/>
        <v>0</v>
      </c>
      <c r="AI74" s="93">
        <f t="shared" si="30"/>
        <v>0</v>
      </c>
      <c r="AJ74" s="92">
        <f t="shared" si="31"/>
        <v>0</v>
      </c>
      <c r="AK74" s="82">
        <f t="shared" si="32"/>
        <v>0</v>
      </c>
      <c r="AL74" s="82">
        <f t="shared" si="33"/>
        <v>0</v>
      </c>
      <c r="AM74" s="93">
        <f t="shared" si="34"/>
        <v>0</v>
      </c>
      <c r="AN74" s="16"/>
    </row>
    <row r="75" spans="1:40">
      <c r="A75" s="23">
        <f>' BZ_W'!A23</f>
        <v>0</v>
      </c>
      <c r="B75" s="27">
        <f>' BZ_W'!B23</f>
        <v>0</v>
      </c>
      <c r="C75" s="27">
        <f>' BZ_W'!C23</f>
        <v>0</v>
      </c>
      <c r="D75" s="27">
        <f>' BZ_W'!D23</f>
        <v>0</v>
      </c>
      <c r="E75" s="27">
        <f>' BZ_W'!E23</f>
        <v>0</v>
      </c>
      <c r="F75" s="27">
        <f>' BZ_W'!F23</f>
        <v>0</v>
      </c>
      <c r="G75" s="24">
        <f>' BZ_W'!G23</f>
        <v>0</v>
      </c>
      <c r="H75" s="45">
        <f>' BZ_W'!H23</f>
        <v>0</v>
      </c>
      <c r="I75" s="26">
        <f>' BZ_W'!I23</f>
        <v>0</v>
      </c>
      <c r="J75" s="27">
        <f>' BZ_W'!J23</f>
        <v>0</v>
      </c>
      <c r="K75" s="27">
        <f>' BZ_W'!K23</f>
        <v>0</v>
      </c>
      <c r="L75" s="25">
        <f>' BZ_W'!L23</f>
        <v>0</v>
      </c>
      <c r="M75" s="25">
        <f>' BZ_W'!M23</f>
        <v>0</v>
      </c>
      <c r="N75" s="25">
        <f>' BZ_W'!N23</f>
        <v>0</v>
      </c>
      <c r="O75" s="25">
        <f>' BZ_W'!O23</f>
        <v>0</v>
      </c>
      <c r="P75" s="25">
        <f>' BZ_W'!P23</f>
        <v>0</v>
      </c>
      <c r="Q75" s="25">
        <f>' BZ_W'!Q23</f>
        <v>0</v>
      </c>
      <c r="R75" s="27">
        <f>' BZ_W'!R23</f>
        <v>0</v>
      </c>
      <c r="S75" s="25">
        <f>' BZ_W'!S23</f>
        <v>0</v>
      </c>
      <c r="T75" s="25">
        <f>' BZ_W'!T23</f>
        <v>0</v>
      </c>
      <c r="U75" s="36">
        <f>' BZ_W'!U23</f>
        <v>0</v>
      </c>
      <c r="V75" s="37">
        <f>' BZ_W'!V23</f>
        <v>0</v>
      </c>
      <c r="W75" s="70">
        <f t="shared" si="21"/>
        <v>0</v>
      </c>
      <c r="X75" s="71" t="e">
        <f t="shared" si="22"/>
        <v>#DIV/0!</v>
      </c>
      <c r="Y75" s="72" t="e">
        <f t="shared" si="24"/>
        <v>#DIV/0!</v>
      </c>
      <c r="Z75" s="72" t="e">
        <f t="shared" si="25"/>
        <v>#DIV/0!</v>
      </c>
      <c r="AA75" s="72" t="e">
        <f t="shared" si="26"/>
        <v>#DIV/0!</v>
      </c>
      <c r="AB75" s="73">
        <v>72</v>
      </c>
      <c r="AC75" s="74">
        <f t="shared" si="27"/>
        <v>0</v>
      </c>
      <c r="AD75" s="86">
        <f t="shared" si="20"/>
        <v>0</v>
      </c>
      <c r="AE75" s="74">
        <f t="shared" si="23"/>
        <v>0</v>
      </c>
      <c r="AF75" s="75">
        <f t="shared" si="28"/>
        <v>0</v>
      </c>
      <c r="AG75" s="75">
        <f t="shared" si="29"/>
        <v>0</v>
      </c>
      <c r="AH75" s="82">
        <f t="shared" si="35"/>
        <v>0</v>
      </c>
      <c r="AI75" s="93">
        <f t="shared" si="30"/>
        <v>0</v>
      </c>
      <c r="AJ75" s="92">
        <f t="shared" si="31"/>
        <v>0</v>
      </c>
      <c r="AK75" s="82">
        <f t="shared" si="32"/>
        <v>0</v>
      </c>
      <c r="AL75" s="82">
        <f t="shared" si="33"/>
        <v>0</v>
      </c>
      <c r="AM75" s="93">
        <f t="shared" si="34"/>
        <v>0</v>
      </c>
      <c r="AN75" s="16"/>
    </row>
    <row r="76" spans="1:40">
      <c r="A76" s="23">
        <f>' BZ_W'!A24</f>
        <v>0</v>
      </c>
      <c r="B76" s="27">
        <f>' BZ_W'!B24</f>
        <v>0</v>
      </c>
      <c r="C76" s="27">
        <f>' BZ_W'!C24</f>
        <v>0</v>
      </c>
      <c r="D76" s="27">
        <f>' BZ_W'!D24</f>
        <v>0</v>
      </c>
      <c r="E76" s="27">
        <f>' BZ_W'!E24</f>
        <v>0</v>
      </c>
      <c r="F76" s="27">
        <f>' BZ_W'!F24</f>
        <v>0</v>
      </c>
      <c r="G76" s="24">
        <f>' BZ_W'!G24</f>
        <v>0</v>
      </c>
      <c r="H76" s="45">
        <f>' BZ_W'!H24</f>
        <v>0</v>
      </c>
      <c r="I76" s="26">
        <f>' BZ_W'!I24</f>
        <v>0</v>
      </c>
      <c r="J76" s="27">
        <f>' BZ_W'!J24</f>
        <v>0</v>
      </c>
      <c r="K76" s="27">
        <f>' BZ_W'!K24</f>
        <v>0</v>
      </c>
      <c r="L76" s="25">
        <f>' BZ_W'!L24</f>
        <v>0</v>
      </c>
      <c r="M76" s="25">
        <f>' BZ_W'!M24</f>
        <v>0</v>
      </c>
      <c r="N76" s="25">
        <f>' BZ_W'!N24</f>
        <v>0</v>
      </c>
      <c r="O76" s="25">
        <f>' BZ_W'!O24</f>
        <v>0</v>
      </c>
      <c r="P76" s="25">
        <f>' BZ_W'!P24</f>
        <v>0</v>
      </c>
      <c r="Q76" s="25">
        <f>' BZ_W'!Q24</f>
        <v>0</v>
      </c>
      <c r="R76" s="27">
        <f>' BZ_W'!R24</f>
        <v>0</v>
      </c>
      <c r="S76" s="25">
        <f>' BZ_W'!S24</f>
        <v>0</v>
      </c>
      <c r="T76" s="25">
        <f>' BZ_W'!T24</f>
        <v>0</v>
      </c>
      <c r="U76" s="36">
        <f>' BZ_W'!U24</f>
        <v>0</v>
      </c>
      <c r="V76" s="37">
        <f>' BZ_W'!V24</f>
        <v>0</v>
      </c>
      <c r="W76" s="70">
        <f t="shared" si="21"/>
        <v>0</v>
      </c>
      <c r="X76" s="71" t="e">
        <f t="shared" si="22"/>
        <v>#DIV/0!</v>
      </c>
      <c r="Y76" s="72" t="e">
        <f t="shared" si="24"/>
        <v>#DIV/0!</v>
      </c>
      <c r="Z76" s="72" t="e">
        <f t="shared" si="25"/>
        <v>#DIV/0!</v>
      </c>
      <c r="AA76" s="72" t="e">
        <f t="shared" si="26"/>
        <v>#DIV/0!</v>
      </c>
      <c r="AB76" s="73">
        <v>73</v>
      </c>
      <c r="AC76" s="74">
        <f t="shared" si="27"/>
        <v>0</v>
      </c>
      <c r="AD76" s="86">
        <f t="shared" si="20"/>
        <v>0</v>
      </c>
      <c r="AE76" s="74">
        <f t="shared" si="23"/>
        <v>0</v>
      </c>
      <c r="AF76" s="75">
        <f t="shared" si="28"/>
        <v>0</v>
      </c>
      <c r="AG76" s="75">
        <f t="shared" si="29"/>
        <v>0</v>
      </c>
      <c r="AH76" s="82">
        <f t="shared" si="35"/>
        <v>0</v>
      </c>
      <c r="AI76" s="93">
        <f t="shared" si="30"/>
        <v>0</v>
      </c>
      <c r="AJ76" s="92">
        <f t="shared" si="31"/>
        <v>0</v>
      </c>
      <c r="AK76" s="82">
        <f t="shared" si="32"/>
        <v>0</v>
      </c>
      <c r="AL76" s="82">
        <f t="shared" si="33"/>
        <v>0</v>
      </c>
      <c r="AM76" s="93">
        <f t="shared" si="34"/>
        <v>0</v>
      </c>
      <c r="AN76" s="16"/>
    </row>
    <row r="77" spans="1:40">
      <c r="A77" s="23">
        <f>' BZ_W'!A25</f>
        <v>0</v>
      </c>
      <c r="B77" s="27">
        <f>' BZ_W'!B25</f>
        <v>0</v>
      </c>
      <c r="C77" s="27">
        <f>' BZ_W'!C25</f>
        <v>0</v>
      </c>
      <c r="D77" s="27">
        <f>' BZ_W'!D25</f>
        <v>0</v>
      </c>
      <c r="E77" s="27">
        <f>' BZ_W'!E25</f>
        <v>0</v>
      </c>
      <c r="F77" s="27">
        <f>' BZ_W'!F25</f>
        <v>0</v>
      </c>
      <c r="G77" s="24">
        <f>' BZ_W'!G25</f>
        <v>0</v>
      </c>
      <c r="H77" s="45">
        <f>' BZ_W'!H25</f>
        <v>0</v>
      </c>
      <c r="I77" s="26">
        <f>' BZ_W'!I25</f>
        <v>0</v>
      </c>
      <c r="J77" s="27">
        <f>' BZ_W'!J25</f>
        <v>0</v>
      </c>
      <c r="K77" s="27">
        <f>' BZ_W'!K25</f>
        <v>0</v>
      </c>
      <c r="L77" s="25">
        <f>' BZ_W'!L25</f>
        <v>0</v>
      </c>
      <c r="M77" s="25">
        <f>' BZ_W'!M25</f>
        <v>0</v>
      </c>
      <c r="N77" s="25">
        <f>' BZ_W'!N25</f>
        <v>0</v>
      </c>
      <c r="O77" s="25">
        <f>' BZ_W'!O25</f>
        <v>0</v>
      </c>
      <c r="P77" s="25">
        <f>' BZ_W'!P25</f>
        <v>0</v>
      </c>
      <c r="Q77" s="25">
        <f>' BZ_W'!Q25</f>
        <v>0</v>
      </c>
      <c r="R77" s="27">
        <f>' BZ_W'!R25</f>
        <v>0</v>
      </c>
      <c r="S77" s="25">
        <f>' BZ_W'!S25</f>
        <v>0</v>
      </c>
      <c r="T77" s="25">
        <f>' BZ_W'!T25</f>
        <v>0</v>
      </c>
      <c r="U77" s="36">
        <f>' BZ_W'!U25</f>
        <v>0</v>
      </c>
      <c r="V77" s="37">
        <f>' BZ_W'!V25</f>
        <v>0</v>
      </c>
      <c r="W77" s="70">
        <f t="shared" si="21"/>
        <v>0</v>
      </c>
      <c r="X77" s="71" t="e">
        <f t="shared" si="22"/>
        <v>#DIV/0!</v>
      </c>
      <c r="Y77" s="72" t="e">
        <f t="shared" si="24"/>
        <v>#DIV/0!</v>
      </c>
      <c r="Z77" s="72" t="e">
        <f t="shared" si="25"/>
        <v>#DIV/0!</v>
      </c>
      <c r="AA77" s="72" t="e">
        <f t="shared" si="26"/>
        <v>#DIV/0!</v>
      </c>
      <c r="AB77" s="73">
        <v>74</v>
      </c>
      <c r="AC77" s="74">
        <f t="shared" si="27"/>
        <v>0</v>
      </c>
      <c r="AD77" s="86">
        <f t="shared" si="20"/>
        <v>0</v>
      </c>
      <c r="AE77" s="74">
        <f t="shared" si="23"/>
        <v>0</v>
      </c>
      <c r="AF77" s="75">
        <f t="shared" si="28"/>
        <v>0</v>
      </c>
      <c r="AG77" s="75">
        <f t="shared" si="29"/>
        <v>0</v>
      </c>
      <c r="AH77" s="82">
        <f t="shared" si="35"/>
        <v>0</v>
      </c>
      <c r="AI77" s="93">
        <f t="shared" si="30"/>
        <v>0</v>
      </c>
      <c r="AJ77" s="92">
        <f t="shared" si="31"/>
        <v>0</v>
      </c>
      <c r="AK77" s="82">
        <f t="shared" si="32"/>
        <v>0</v>
      </c>
      <c r="AL77" s="82">
        <f t="shared" si="33"/>
        <v>0</v>
      </c>
      <c r="AM77" s="93">
        <f t="shared" si="34"/>
        <v>0</v>
      </c>
      <c r="AN77" s="16"/>
    </row>
    <row r="78" spans="1:40">
      <c r="A78" s="23">
        <f>' BZ_W'!A26</f>
        <v>0</v>
      </c>
      <c r="B78" s="27">
        <f>' BZ_W'!B26</f>
        <v>0</v>
      </c>
      <c r="C78" s="27">
        <f>' BZ_W'!C26</f>
        <v>0</v>
      </c>
      <c r="D78" s="27">
        <f>' BZ_W'!D26</f>
        <v>0</v>
      </c>
      <c r="E78" s="27">
        <f>' BZ_W'!E26</f>
        <v>0</v>
      </c>
      <c r="F78" s="27">
        <f>' BZ_W'!F26</f>
        <v>0</v>
      </c>
      <c r="G78" s="24">
        <f>' BZ_W'!G26</f>
        <v>0</v>
      </c>
      <c r="H78" s="45">
        <f>' BZ_W'!H26</f>
        <v>0</v>
      </c>
      <c r="I78" s="26">
        <f>' BZ_W'!I26</f>
        <v>0</v>
      </c>
      <c r="J78" s="27">
        <f>' BZ_W'!J26</f>
        <v>0</v>
      </c>
      <c r="K78" s="27">
        <f>' BZ_W'!K26</f>
        <v>0</v>
      </c>
      <c r="L78" s="25">
        <f>' BZ_W'!L26</f>
        <v>0</v>
      </c>
      <c r="M78" s="25">
        <f>' BZ_W'!M26</f>
        <v>0</v>
      </c>
      <c r="N78" s="25">
        <f>' BZ_W'!N26</f>
        <v>0</v>
      </c>
      <c r="O78" s="25">
        <f>' BZ_W'!O26</f>
        <v>0</v>
      </c>
      <c r="P78" s="25">
        <f>' BZ_W'!P26</f>
        <v>0</v>
      </c>
      <c r="Q78" s="25">
        <f>' BZ_W'!Q26</f>
        <v>0</v>
      </c>
      <c r="R78" s="27">
        <f>' BZ_W'!R26</f>
        <v>0</v>
      </c>
      <c r="S78" s="25">
        <f>' BZ_W'!S26</f>
        <v>0</v>
      </c>
      <c r="T78" s="25">
        <f>' BZ_W'!T26</f>
        <v>0</v>
      </c>
      <c r="U78" s="36">
        <f>' BZ_W'!U26</f>
        <v>0</v>
      </c>
      <c r="V78" s="37">
        <f>' BZ_W'!V26</f>
        <v>0</v>
      </c>
      <c r="W78" s="70">
        <f t="shared" si="21"/>
        <v>0</v>
      </c>
      <c r="X78" s="71" t="e">
        <f t="shared" si="22"/>
        <v>#DIV/0!</v>
      </c>
      <c r="Y78" s="72" t="e">
        <f t="shared" si="24"/>
        <v>#DIV/0!</v>
      </c>
      <c r="Z78" s="72" t="e">
        <f t="shared" si="25"/>
        <v>#DIV/0!</v>
      </c>
      <c r="AA78" s="72" t="e">
        <f t="shared" si="26"/>
        <v>#DIV/0!</v>
      </c>
      <c r="AB78" s="73">
        <v>75</v>
      </c>
      <c r="AC78" s="74">
        <f t="shared" si="27"/>
        <v>0</v>
      </c>
      <c r="AD78" s="86">
        <f t="shared" si="20"/>
        <v>0</v>
      </c>
      <c r="AE78" s="74">
        <f t="shared" si="23"/>
        <v>0</v>
      </c>
      <c r="AF78" s="75">
        <f t="shared" si="28"/>
        <v>0</v>
      </c>
      <c r="AG78" s="75">
        <f t="shared" si="29"/>
        <v>0</v>
      </c>
      <c r="AH78" s="82">
        <f t="shared" si="35"/>
        <v>0</v>
      </c>
      <c r="AI78" s="93">
        <f t="shared" si="30"/>
        <v>0</v>
      </c>
      <c r="AJ78" s="92">
        <f t="shared" si="31"/>
        <v>0</v>
      </c>
      <c r="AK78" s="82">
        <f t="shared" si="32"/>
        <v>0</v>
      </c>
      <c r="AL78" s="82">
        <f t="shared" si="33"/>
        <v>0</v>
      </c>
      <c r="AM78" s="93">
        <f t="shared" si="34"/>
        <v>0</v>
      </c>
      <c r="AN78" s="16"/>
    </row>
    <row r="79" spans="1:40">
      <c r="A79" s="23">
        <f>' BZ_W'!A27</f>
        <v>0</v>
      </c>
      <c r="B79" s="27">
        <f>' BZ_W'!B27</f>
        <v>0</v>
      </c>
      <c r="C79" s="27">
        <f>' BZ_W'!C27</f>
        <v>0</v>
      </c>
      <c r="D79" s="27">
        <f>' BZ_W'!D27</f>
        <v>0</v>
      </c>
      <c r="E79" s="27">
        <f>' BZ_W'!E27</f>
        <v>0</v>
      </c>
      <c r="F79" s="27">
        <f>' BZ_W'!F27</f>
        <v>0</v>
      </c>
      <c r="G79" s="24">
        <f>' BZ_W'!G27</f>
        <v>0</v>
      </c>
      <c r="H79" s="45">
        <f>' BZ_W'!H27</f>
        <v>0</v>
      </c>
      <c r="I79" s="26">
        <f>' BZ_W'!I27</f>
        <v>0</v>
      </c>
      <c r="J79" s="27">
        <f>' BZ_W'!J27</f>
        <v>0</v>
      </c>
      <c r="K79" s="27">
        <f>' BZ_W'!K27</f>
        <v>0</v>
      </c>
      <c r="L79" s="25">
        <f>' BZ_W'!L27</f>
        <v>0</v>
      </c>
      <c r="M79" s="25">
        <f>' BZ_W'!M27</f>
        <v>0</v>
      </c>
      <c r="N79" s="25">
        <f>' BZ_W'!N27</f>
        <v>0</v>
      </c>
      <c r="O79" s="25">
        <f>' BZ_W'!O27</f>
        <v>0</v>
      </c>
      <c r="P79" s="25">
        <f>' BZ_W'!P27</f>
        <v>0</v>
      </c>
      <c r="Q79" s="25">
        <f>' BZ_W'!Q27</f>
        <v>0</v>
      </c>
      <c r="R79" s="27">
        <f>' BZ_W'!R27</f>
        <v>0</v>
      </c>
      <c r="S79" s="25">
        <f>' BZ_W'!S27</f>
        <v>0</v>
      </c>
      <c r="T79" s="25">
        <f>' BZ_W'!T27</f>
        <v>0</v>
      </c>
      <c r="U79" s="36">
        <f>' BZ_W'!U27</f>
        <v>0</v>
      </c>
      <c r="V79" s="37">
        <f>' BZ_W'!V27</f>
        <v>0</v>
      </c>
      <c r="W79" s="70">
        <f t="shared" si="21"/>
        <v>0</v>
      </c>
      <c r="X79" s="71" t="e">
        <f t="shared" si="22"/>
        <v>#DIV/0!</v>
      </c>
      <c r="Y79" s="72" t="e">
        <f t="shared" si="24"/>
        <v>#DIV/0!</v>
      </c>
      <c r="Z79" s="72" t="e">
        <f t="shared" si="25"/>
        <v>#DIV/0!</v>
      </c>
      <c r="AA79" s="72" t="e">
        <f t="shared" si="26"/>
        <v>#DIV/0!</v>
      </c>
      <c r="AB79" s="73">
        <v>76</v>
      </c>
      <c r="AC79" s="74">
        <f t="shared" si="27"/>
        <v>0</v>
      </c>
      <c r="AD79" s="86">
        <f t="shared" si="20"/>
        <v>0</v>
      </c>
      <c r="AE79" s="74">
        <f t="shared" si="23"/>
        <v>0</v>
      </c>
      <c r="AF79" s="75">
        <f t="shared" si="28"/>
        <v>0</v>
      </c>
      <c r="AG79" s="75">
        <f t="shared" si="29"/>
        <v>0</v>
      </c>
      <c r="AH79" s="82">
        <f t="shared" si="35"/>
        <v>0</v>
      </c>
      <c r="AI79" s="93">
        <f t="shared" si="30"/>
        <v>0</v>
      </c>
      <c r="AJ79" s="92">
        <f t="shared" si="31"/>
        <v>0</v>
      </c>
      <c r="AK79" s="82">
        <f t="shared" si="32"/>
        <v>0</v>
      </c>
      <c r="AL79" s="82">
        <f t="shared" si="33"/>
        <v>0</v>
      </c>
      <c r="AM79" s="93">
        <f t="shared" si="34"/>
        <v>0</v>
      </c>
      <c r="AN79" s="16"/>
    </row>
    <row r="80" spans="1:40">
      <c r="A80" s="23">
        <f>' BZ_W'!A28</f>
        <v>0</v>
      </c>
      <c r="B80" s="27">
        <f>' BZ_W'!B28</f>
        <v>0</v>
      </c>
      <c r="C80" s="27">
        <f>' BZ_W'!C28</f>
        <v>0</v>
      </c>
      <c r="D80" s="27">
        <f>' BZ_W'!D28</f>
        <v>0</v>
      </c>
      <c r="E80" s="27">
        <f>' BZ_W'!E28</f>
        <v>0</v>
      </c>
      <c r="F80" s="27">
        <f>' BZ_W'!F28</f>
        <v>0</v>
      </c>
      <c r="G80" s="24">
        <f>' BZ_W'!G28</f>
        <v>0</v>
      </c>
      <c r="H80" s="45">
        <f>' BZ_W'!H28</f>
        <v>0</v>
      </c>
      <c r="I80" s="26">
        <f>' BZ_W'!I28</f>
        <v>0</v>
      </c>
      <c r="J80" s="27">
        <f>' BZ_W'!J28</f>
        <v>0</v>
      </c>
      <c r="K80" s="27">
        <f>' BZ_W'!K28</f>
        <v>0</v>
      </c>
      <c r="L80" s="25">
        <f>' BZ_W'!L28</f>
        <v>0</v>
      </c>
      <c r="M80" s="25">
        <f>' BZ_W'!M28</f>
        <v>0</v>
      </c>
      <c r="N80" s="25">
        <f>' BZ_W'!N28</f>
        <v>0</v>
      </c>
      <c r="O80" s="25">
        <f>' BZ_W'!O28</f>
        <v>0</v>
      </c>
      <c r="P80" s="25">
        <f>' BZ_W'!P28</f>
        <v>0</v>
      </c>
      <c r="Q80" s="25">
        <f>' BZ_W'!Q28</f>
        <v>0</v>
      </c>
      <c r="R80" s="27">
        <f>' BZ_W'!R28</f>
        <v>0</v>
      </c>
      <c r="S80" s="25">
        <f>' BZ_W'!S28</f>
        <v>0</v>
      </c>
      <c r="T80" s="25">
        <f>' BZ_W'!T28</f>
        <v>0</v>
      </c>
      <c r="U80" s="36">
        <f>' BZ_W'!U28</f>
        <v>0</v>
      </c>
      <c r="V80" s="37">
        <f>' BZ_W'!V28</f>
        <v>0</v>
      </c>
      <c r="W80" s="70">
        <f t="shared" si="21"/>
        <v>0</v>
      </c>
      <c r="X80" s="71" t="e">
        <f t="shared" si="22"/>
        <v>#DIV/0!</v>
      </c>
      <c r="Y80" s="72" t="e">
        <f t="shared" si="24"/>
        <v>#DIV/0!</v>
      </c>
      <c r="Z80" s="72" t="e">
        <f t="shared" si="25"/>
        <v>#DIV/0!</v>
      </c>
      <c r="AA80" s="72" t="e">
        <f t="shared" si="26"/>
        <v>#DIV/0!</v>
      </c>
      <c r="AB80" s="73">
        <v>77</v>
      </c>
      <c r="AC80" s="74">
        <f t="shared" si="27"/>
        <v>0</v>
      </c>
      <c r="AD80" s="86">
        <f t="shared" si="20"/>
        <v>0</v>
      </c>
      <c r="AE80" s="74">
        <f t="shared" si="23"/>
        <v>0</v>
      </c>
      <c r="AF80" s="75">
        <f t="shared" si="28"/>
        <v>0</v>
      </c>
      <c r="AG80" s="75">
        <f t="shared" si="29"/>
        <v>0</v>
      </c>
      <c r="AH80" s="82">
        <f t="shared" si="35"/>
        <v>0</v>
      </c>
      <c r="AI80" s="93">
        <f t="shared" si="30"/>
        <v>0</v>
      </c>
      <c r="AJ80" s="92">
        <f t="shared" si="31"/>
        <v>0</v>
      </c>
      <c r="AK80" s="82">
        <f t="shared" si="32"/>
        <v>0</v>
      </c>
      <c r="AL80" s="82">
        <f t="shared" si="33"/>
        <v>0</v>
      </c>
      <c r="AM80" s="93">
        <f t="shared" si="34"/>
        <v>0</v>
      </c>
      <c r="AN80" s="16"/>
    </row>
    <row r="81" spans="1:40">
      <c r="A81" s="23">
        <f>' BZ_W'!A29</f>
        <v>0</v>
      </c>
      <c r="B81" s="27">
        <f>' BZ_W'!B29</f>
        <v>0</v>
      </c>
      <c r="C81" s="27">
        <f>' BZ_W'!C29</f>
        <v>0</v>
      </c>
      <c r="D81" s="27">
        <f>' BZ_W'!D29</f>
        <v>0</v>
      </c>
      <c r="E81" s="27">
        <f>' BZ_W'!E29</f>
        <v>0</v>
      </c>
      <c r="F81" s="27">
        <f>' BZ_W'!F29</f>
        <v>0</v>
      </c>
      <c r="G81" s="24">
        <f>' BZ_W'!G29</f>
        <v>0</v>
      </c>
      <c r="H81" s="45">
        <f>' BZ_W'!H29</f>
        <v>0</v>
      </c>
      <c r="I81" s="26">
        <f>' BZ_W'!I29</f>
        <v>0</v>
      </c>
      <c r="J81" s="27">
        <f>' BZ_W'!J29</f>
        <v>0</v>
      </c>
      <c r="K81" s="27">
        <f>' BZ_W'!K29</f>
        <v>0</v>
      </c>
      <c r="L81" s="25">
        <f>' BZ_W'!L29</f>
        <v>0</v>
      </c>
      <c r="M81" s="25">
        <f>' BZ_W'!M29</f>
        <v>0</v>
      </c>
      <c r="N81" s="25">
        <f>' BZ_W'!N29</f>
        <v>0</v>
      </c>
      <c r="O81" s="25">
        <f>' BZ_W'!O29</f>
        <v>0</v>
      </c>
      <c r="P81" s="25">
        <f>' BZ_W'!P29</f>
        <v>0</v>
      </c>
      <c r="Q81" s="25">
        <f>' BZ_W'!Q29</f>
        <v>0</v>
      </c>
      <c r="R81" s="27">
        <f>' BZ_W'!R29</f>
        <v>0</v>
      </c>
      <c r="S81" s="25">
        <f>' BZ_W'!S29</f>
        <v>0</v>
      </c>
      <c r="T81" s="25">
        <f>' BZ_W'!T29</f>
        <v>0</v>
      </c>
      <c r="U81" s="36">
        <f>' BZ_W'!U29</f>
        <v>0</v>
      </c>
      <c r="V81" s="37">
        <f>' BZ_W'!V29</f>
        <v>0</v>
      </c>
      <c r="W81" s="70">
        <f t="shared" si="21"/>
        <v>0</v>
      </c>
      <c r="X81" s="71" t="e">
        <f t="shared" si="22"/>
        <v>#DIV/0!</v>
      </c>
      <c r="Y81" s="72" t="e">
        <f t="shared" si="24"/>
        <v>#DIV/0!</v>
      </c>
      <c r="Z81" s="72" t="e">
        <f t="shared" si="25"/>
        <v>#DIV/0!</v>
      </c>
      <c r="AA81" s="72" t="e">
        <f t="shared" si="26"/>
        <v>#DIV/0!</v>
      </c>
      <c r="AB81" s="73">
        <v>78</v>
      </c>
      <c r="AC81" s="74">
        <f t="shared" si="27"/>
        <v>0</v>
      </c>
      <c r="AD81" s="86">
        <f t="shared" si="20"/>
        <v>0</v>
      </c>
      <c r="AE81" s="74">
        <f t="shared" si="23"/>
        <v>0</v>
      </c>
      <c r="AF81" s="75">
        <f t="shared" si="28"/>
        <v>0</v>
      </c>
      <c r="AG81" s="75">
        <f t="shared" si="29"/>
        <v>0</v>
      </c>
      <c r="AH81" s="82">
        <f t="shared" si="35"/>
        <v>0</v>
      </c>
      <c r="AI81" s="93">
        <f t="shared" si="30"/>
        <v>0</v>
      </c>
      <c r="AJ81" s="92">
        <f t="shared" si="31"/>
        <v>0</v>
      </c>
      <c r="AK81" s="82">
        <f t="shared" si="32"/>
        <v>0</v>
      </c>
      <c r="AL81" s="82">
        <f t="shared" si="33"/>
        <v>0</v>
      </c>
      <c r="AM81" s="93">
        <f t="shared" si="34"/>
        <v>0</v>
      </c>
      <c r="AN81" s="16"/>
    </row>
    <row r="82" spans="1:40">
      <c r="A82" s="23">
        <f>' BZ_W'!A30</f>
        <v>0</v>
      </c>
      <c r="B82" s="27">
        <f>' BZ_W'!B30</f>
        <v>0</v>
      </c>
      <c r="C82" s="27">
        <f>' BZ_W'!C30</f>
        <v>0</v>
      </c>
      <c r="D82" s="27">
        <f>' BZ_W'!D30</f>
        <v>0</v>
      </c>
      <c r="E82" s="27">
        <f>' BZ_W'!E30</f>
        <v>0</v>
      </c>
      <c r="F82" s="27">
        <f>' BZ_W'!F30</f>
        <v>0</v>
      </c>
      <c r="G82" s="24">
        <f>' BZ_W'!G30</f>
        <v>0</v>
      </c>
      <c r="H82" s="45">
        <f>' BZ_W'!H30</f>
        <v>0</v>
      </c>
      <c r="I82" s="26">
        <f>' BZ_W'!I30</f>
        <v>0</v>
      </c>
      <c r="J82" s="27">
        <f>' BZ_W'!J30</f>
        <v>0</v>
      </c>
      <c r="K82" s="27">
        <f>' BZ_W'!K30</f>
        <v>0</v>
      </c>
      <c r="L82" s="25">
        <f>' BZ_W'!L30</f>
        <v>0</v>
      </c>
      <c r="M82" s="25">
        <f>' BZ_W'!M30</f>
        <v>0</v>
      </c>
      <c r="N82" s="25">
        <f>' BZ_W'!N30</f>
        <v>0</v>
      </c>
      <c r="O82" s="25">
        <f>' BZ_W'!O30</f>
        <v>0</v>
      </c>
      <c r="P82" s="25">
        <f>' BZ_W'!P30</f>
        <v>0</v>
      </c>
      <c r="Q82" s="25">
        <f>' BZ_W'!Q30</f>
        <v>0</v>
      </c>
      <c r="R82" s="27">
        <f>' BZ_W'!R30</f>
        <v>0</v>
      </c>
      <c r="S82" s="25">
        <f>' BZ_W'!S30</f>
        <v>0</v>
      </c>
      <c r="T82" s="25">
        <f>' BZ_W'!T30</f>
        <v>0</v>
      </c>
      <c r="U82" s="36">
        <f>' BZ_W'!U30</f>
        <v>0</v>
      </c>
      <c r="V82" s="37">
        <f>' BZ_W'!V30</f>
        <v>0</v>
      </c>
      <c r="W82" s="70">
        <f t="shared" si="21"/>
        <v>0</v>
      </c>
      <c r="X82" s="71" t="e">
        <f t="shared" si="22"/>
        <v>#DIV/0!</v>
      </c>
      <c r="Y82" s="72" t="e">
        <f t="shared" si="24"/>
        <v>#DIV/0!</v>
      </c>
      <c r="Z82" s="72" t="e">
        <f t="shared" si="25"/>
        <v>#DIV/0!</v>
      </c>
      <c r="AA82" s="72" t="e">
        <f t="shared" si="26"/>
        <v>#DIV/0!</v>
      </c>
      <c r="AB82" s="73">
        <v>79</v>
      </c>
      <c r="AC82" s="74">
        <f t="shared" si="27"/>
        <v>0</v>
      </c>
      <c r="AD82" s="86">
        <f t="shared" si="20"/>
        <v>0</v>
      </c>
      <c r="AE82" s="74">
        <f t="shared" si="23"/>
        <v>0</v>
      </c>
      <c r="AF82" s="75">
        <f t="shared" si="28"/>
        <v>0</v>
      </c>
      <c r="AG82" s="75">
        <f t="shared" si="29"/>
        <v>0</v>
      </c>
      <c r="AH82" s="82">
        <f t="shared" si="35"/>
        <v>0</v>
      </c>
      <c r="AI82" s="93">
        <f t="shared" si="30"/>
        <v>0</v>
      </c>
      <c r="AJ82" s="92">
        <f t="shared" si="31"/>
        <v>0</v>
      </c>
      <c r="AK82" s="82">
        <f t="shared" si="32"/>
        <v>0</v>
      </c>
      <c r="AL82" s="82">
        <f t="shared" si="33"/>
        <v>0</v>
      </c>
      <c r="AM82" s="93">
        <f t="shared" si="34"/>
        <v>0</v>
      </c>
      <c r="AN82" s="16"/>
    </row>
    <row r="83" spans="1:40">
      <c r="A83" s="23">
        <f>' BZ_W'!A31</f>
        <v>0</v>
      </c>
      <c r="B83" s="27">
        <f>' BZ_W'!B31</f>
        <v>0</v>
      </c>
      <c r="C83" s="27">
        <f>' BZ_W'!C31</f>
        <v>0</v>
      </c>
      <c r="D83" s="27">
        <f>' BZ_W'!D31</f>
        <v>0</v>
      </c>
      <c r="E83" s="27">
        <f>' BZ_W'!E31</f>
        <v>0</v>
      </c>
      <c r="F83" s="27">
        <f>' BZ_W'!F31</f>
        <v>0</v>
      </c>
      <c r="G83" s="24">
        <f>' BZ_W'!G31</f>
        <v>0</v>
      </c>
      <c r="H83" s="45">
        <f>' BZ_W'!H31</f>
        <v>0</v>
      </c>
      <c r="I83" s="26">
        <f>' BZ_W'!I31</f>
        <v>0</v>
      </c>
      <c r="J83" s="27">
        <f>' BZ_W'!J31</f>
        <v>0</v>
      </c>
      <c r="K83" s="27">
        <f>' BZ_W'!K31</f>
        <v>0</v>
      </c>
      <c r="L83" s="25">
        <f>' BZ_W'!L31</f>
        <v>0</v>
      </c>
      <c r="M83" s="25">
        <f>' BZ_W'!M31</f>
        <v>0</v>
      </c>
      <c r="N83" s="25">
        <f>' BZ_W'!N31</f>
        <v>0</v>
      </c>
      <c r="O83" s="25">
        <f>' BZ_W'!O31</f>
        <v>0</v>
      </c>
      <c r="P83" s="25">
        <f>' BZ_W'!P31</f>
        <v>0</v>
      </c>
      <c r="Q83" s="25">
        <f>' BZ_W'!Q31</f>
        <v>0</v>
      </c>
      <c r="R83" s="27">
        <f>' BZ_W'!R31</f>
        <v>0</v>
      </c>
      <c r="S83" s="25">
        <f>' BZ_W'!S31</f>
        <v>0</v>
      </c>
      <c r="T83" s="25">
        <f>' BZ_W'!T31</f>
        <v>0</v>
      </c>
      <c r="U83" s="36">
        <f>' BZ_W'!U31</f>
        <v>0</v>
      </c>
      <c r="V83" s="37">
        <f>' BZ_W'!V31</f>
        <v>0</v>
      </c>
      <c r="W83" s="70">
        <f t="shared" si="21"/>
        <v>0</v>
      </c>
      <c r="X83" s="71" t="e">
        <f t="shared" si="22"/>
        <v>#DIV/0!</v>
      </c>
      <c r="Y83" s="72" t="e">
        <f t="shared" si="24"/>
        <v>#DIV/0!</v>
      </c>
      <c r="Z83" s="72" t="e">
        <f t="shared" si="25"/>
        <v>#DIV/0!</v>
      </c>
      <c r="AA83" s="72" t="e">
        <f t="shared" si="26"/>
        <v>#DIV/0!</v>
      </c>
      <c r="AB83" s="73">
        <v>80</v>
      </c>
      <c r="AC83" s="74">
        <f t="shared" si="27"/>
        <v>0</v>
      </c>
      <c r="AD83" s="86">
        <f t="shared" si="20"/>
        <v>0</v>
      </c>
      <c r="AE83" s="74">
        <f t="shared" si="23"/>
        <v>0</v>
      </c>
      <c r="AF83" s="75">
        <f t="shared" si="28"/>
        <v>0</v>
      </c>
      <c r="AG83" s="75">
        <f t="shared" si="29"/>
        <v>0</v>
      </c>
      <c r="AH83" s="82">
        <f t="shared" si="35"/>
        <v>0</v>
      </c>
      <c r="AI83" s="93">
        <f t="shared" si="30"/>
        <v>0</v>
      </c>
      <c r="AJ83" s="92">
        <f t="shared" si="31"/>
        <v>0</v>
      </c>
      <c r="AK83" s="82">
        <f t="shared" si="32"/>
        <v>0</v>
      </c>
      <c r="AL83" s="82">
        <f t="shared" si="33"/>
        <v>0</v>
      </c>
      <c r="AM83" s="93">
        <f t="shared" si="34"/>
        <v>0</v>
      </c>
      <c r="AN83" s="16"/>
    </row>
    <row r="84" spans="1:40">
      <c r="A84" s="23">
        <f>' BZ_W'!A32</f>
        <v>0</v>
      </c>
      <c r="B84" s="27">
        <f>' BZ_W'!B32</f>
        <v>0</v>
      </c>
      <c r="C84" s="27">
        <f>' BZ_W'!C32</f>
        <v>0</v>
      </c>
      <c r="D84" s="27">
        <f>' BZ_W'!D32</f>
        <v>0</v>
      </c>
      <c r="E84" s="27">
        <f>' BZ_W'!E32</f>
        <v>0</v>
      </c>
      <c r="F84" s="27">
        <f>' BZ_W'!F32</f>
        <v>0</v>
      </c>
      <c r="G84" s="24">
        <f>' BZ_W'!G32</f>
        <v>0</v>
      </c>
      <c r="H84" s="45">
        <f>' BZ_W'!H32</f>
        <v>0</v>
      </c>
      <c r="I84" s="26">
        <f>' BZ_W'!I32</f>
        <v>0</v>
      </c>
      <c r="J84" s="27">
        <f>' BZ_W'!J32</f>
        <v>0</v>
      </c>
      <c r="K84" s="27">
        <f>' BZ_W'!K32</f>
        <v>0</v>
      </c>
      <c r="L84" s="25">
        <f>' BZ_W'!L32</f>
        <v>0</v>
      </c>
      <c r="M84" s="25">
        <f>' BZ_W'!M32</f>
        <v>0</v>
      </c>
      <c r="N84" s="25">
        <f>' BZ_W'!N32</f>
        <v>0</v>
      </c>
      <c r="O84" s="25">
        <f>' BZ_W'!O32</f>
        <v>0</v>
      </c>
      <c r="P84" s="25">
        <f>' BZ_W'!P32</f>
        <v>0</v>
      </c>
      <c r="Q84" s="25">
        <f>' BZ_W'!Q32</f>
        <v>0</v>
      </c>
      <c r="R84" s="27">
        <f>' BZ_W'!R32</f>
        <v>0</v>
      </c>
      <c r="S84" s="25">
        <f>' BZ_W'!S32</f>
        <v>0</v>
      </c>
      <c r="T84" s="25">
        <f>' BZ_W'!T32</f>
        <v>0</v>
      </c>
      <c r="U84" s="36">
        <f>' BZ_W'!U32</f>
        <v>0</v>
      </c>
      <c r="V84" s="37">
        <f>' BZ_W'!V32</f>
        <v>0</v>
      </c>
      <c r="W84" s="70">
        <f t="shared" si="21"/>
        <v>0</v>
      </c>
      <c r="X84" s="71" t="e">
        <f t="shared" si="22"/>
        <v>#DIV/0!</v>
      </c>
      <c r="Y84" s="72" t="e">
        <f t="shared" si="24"/>
        <v>#DIV/0!</v>
      </c>
      <c r="Z84" s="72" t="e">
        <f t="shared" si="25"/>
        <v>#DIV/0!</v>
      </c>
      <c r="AA84" s="72" t="e">
        <f t="shared" si="26"/>
        <v>#DIV/0!</v>
      </c>
      <c r="AB84" s="73">
        <v>81</v>
      </c>
      <c r="AC84" s="74">
        <f t="shared" si="27"/>
        <v>0</v>
      </c>
      <c r="AD84" s="86">
        <f t="shared" si="20"/>
        <v>0</v>
      </c>
      <c r="AE84" s="74">
        <f t="shared" si="23"/>
        <v>0</v>
      </c>
      <c r="AF84" s="75">
        <f t="shared" si="28"/>
        <v>0</v>
      </c>
      <c r="AG84" s="75">
        <f t="shared" si="29"/>
        <v>0</v>
      </c>
      <c r="AH84" s="82">
        <f t="shared" si="35"/>
        <v>0</v>
      </c>
      <c r="AI84" s="93">
        <f t="shared" si="30"/>
        <v>0</v>
      </c>
      <c r="AJ84" s="92">
        <f t="shared" si="31"/>
        <v>0</v>
      </c>
      <c r="AK84" s="82">
        <f t="shared" si="32"/>
        <v>0</v>
      </c>
      <c r="AL84" s="82">
        <f t="shared" si="33"/>
        <v>0</v>
      </c>
      <c r="AM84" s="93">
        <f t="shared" si="34"/>
        <v>0</v>
      </c>
      <c r="AN84" s="16"/>
    </row>
    <row r="85" spans="1:40">
      <c r="A85" s="23">
        <f>' BZ_W'!A33</f>
        <v>0</v>
      </c>
      <c r="B85" s="27">
        <f>' BZ_W'!B33</f>
        <v>0</v>
      </c>
      <c r="C85" s="27">
        <f>' BZ_W'!C33</f>
        <v>0</v>
      </c>
      <c r="D85" s="27">
        <f>' BZ_W'!D33</f>
        <v>0</v>
      </c>
      <c r="E85" s="27">
        <f>' BZ_W'!E33</f>
        <v>0</v>
      </c>
      <c r="F85" s="27">
        <f>' BZ_W'!F33</f>
        <v>0</v>
      </c>
      <c r="G85" s="24">
        <f>' BZ_W'!G33</f>
        <v>0</v>
      </c>
      <c r="H85" s="45">
        <f>' BZ_W'!H33</f>
        <v>0</v>
      </c>
      <c r="I85" s="26">
        <f>' BZ_W'!I33</f>
        <v>0</v>
      </c>
      <c r="J85" s="27">
        <f>' BZ_W'!J33</f>
        <v>0</v>
      </c>
      <c r="K85" s="27">
        <f>' BZ_W'!K33</f>
        <v>0</v>
      </c>
      <c r="L85" s="25">
        <f>' BZ_W'!L33</f>
        <v>0</v>
      </c>
      <c r="M85" s="25">
        <f>' BZ_W'!M33</f>
        <v>0</v>
      </c>
      <c r="N85" s="25">
        <f>' BZ_W'!N33</f>
        <v>0</v>
      </c>
      <c r="O85" s="25">
        <f>' BZ_W'!O33</f>
        <v>0</v>
      </c>
      <c r="P85" s="25">
        <f>' BZ_W'!P33</f>
        <v>0</v>
      </c>
      <c r="Q85" s="25">
        <f>' BZ_W'!Q33</f>
        <v>0</v>
      </c>
      <c r="R85" s="27">
        <f>' BZ_W'!R33</f>
        <v>0</v>
      </c>
      <c r="S85" s="25">
        <f>' BZ_W'!S33</f>
        <v>0</v>
      </c>
      <c r="T85" s="25">
        <f>' BZ_W'!T33</f>
        <v>0</v>
      </c>
      <c r="U85" s="36">
        <f>' BZ_W'!U33</f>
        <v>0</v>
      </c>
      <c r="V85" s="37">
        <f>' BZ_W'!V33</f>
        <v>0</v>
      </c>
      <c r="W85" s="70">
        <f t="shared" si="21"/>
        <v>0</v>
      </c>
      <c r="X85" s="71" t="e">
        <f t="shared" si="22"/>
        <v>#DIV/0!</v>
      </c>
      <c r="Y85" s="72" t="e">
        <f t="shared" si="24"/>
        <v>#DIV/0!</v>
      </c>
      <c r="Z85" s="72" t="e">
        <f t="shared" si="25"/>
        <v>#DIV/0!</v>
      </c>
      <c r="AA85" s="72" t="e">
        <f t="shared" si="26"/>
        <v>#DIV/0!</v>
      </c>
      <c r="AB85" s="73">
        <v>82</v>
      </c>
      <c r="AC85" s="74">
        <f t="shared" si="27"/>
        <v>0</v>
      </c>
      <c r="AD85" s="86">
        <f t="shared" si="20"/>
        <v>0</v>
      </c>
      <c r="AE85" s="74">
        <f t="shared" si="23"/>
        <v>0</v>
      </c>
      <c r="AF85" s="75">
        <f t="shared" si="28"/>
        <v>0</v>
      </c>
      <c r="AG85" s="75">
        <f t="shared" si="29"/>
        <v>0</v>
      </c>
      <c r="AH85" s="82">
        <f t="shared" si="35"/>
        <v>0</v>
      </c>
      <c r="AI85" s="93">
        <f t="shared" si="30"/>
        <v>0</v>
      </c>
      <c r="AJ85" s="92">
        <f t="shared" si="31"/>
        <v>0</v>
      </c>
      <c r="AK85" s="82">
        <f t="shared" si="32"/>
        <v>0</v>
      </c>
      <c r="AL85" s="82">
        <f t="shared" si="33"/>
        <v>0</v>
      </c>
      <c r="AM85" s="93">
        <f t="shared" si="34"/>
        <v>0</v>
      </c>
      <c r="AN85" s="16"/>
    </row>
    <row r="86" spans="1:40">
      <c r="A86" s="23">
        <f>' BZ_W'!A34</f>
        <v>0</v>
      </c>
      <c r="B86" s="27">
        <f>' BZ_W'!B34</f>
        <v>0</v>
      </c>
      <c r="C86" s="27">
        <f>' BZ_W'!C34</f>
        <v>0</v>
      </c>
      <c r="D86" s="27">
        <f>' BZ_W'!D34</f>
        <v>0</v>
      </c>
      <c r="E86" s="27">
        <f>' BZ_W'!E34</f>
        <v>0</v>
      </c>
      <c r="F86" s="27">
        <f>' BZ_W'!F34</f>
        <v>0</v>
      </c>
      <c r="G86" s="24">
        <f>' BZ_W'!G34</f>
        <v>0</v>
      </c>
      <c r="H86" s="45">
        <f>' BZ_W'!H34</f>
        <v>0</v>
      </c>
      <c r="I86" s="26">
        <f>' BZ_W'!I34</f>
        <v>0</v>
      </c>
      <c r="J86" s="27">
        <f>' BZ_W'!J34</f>
        <v>0</v>
      </c>
      <c r="K86" s="27">
        <f>' BZ_W'!K34</f>
        <v>0</v>
      </c>
      <c r="L86" s="25">
        <f>' BZ_W'!L34</f>
        <v>0</v>
      </c>
      <c r="M86" s="25">
        <f>' BZ_W'!M34</f>
        <v>0</v>
      </c>
      <c r="N86" s="25">
        <f>' BZ_W'!N34</f>
        <v>0</v>
      </c>
      <c r="O86" s="25">
        <f>' BZ_W'!O34</f>
        <v>0</v>
      </c>
      <c r="P86" s="25">
        <f>' BZ_W'!P34</f>
        <v>0</v>
      </c>
      <c r="Q86" s="25">
        <f>' BZ_W'!Q34</f>
        <v>0</v>
      </c>
      <c r="R86" s="27">
        <f>' BZ_W'!R34</f>
        <v>0</v>
      </c>
      <c r="S86" s="25">
        <f>' BZ_W'!S34</f>
        <v>0</v>
      </c>
      <c r="T86" s="25">
        <f>' BZ_W'!T34</f>
        <v>0</v>
      </c>
      <c r="U86" s="36">
        <f>' BZ_W'!U34</f>
        <v>0</v>
      </c>
      <c r="V86" s="37">
        <f>' BZ_W'!V34</f>
        <v>0</v>
      </c>
      <c r="W86" s="70">
        <f t="shared" si="21"/>
        <v>0</v>
      </c>
      <c r="X86" s="71" t="e">
        <f t="shared" si="22"/>
        <v>#DIV/0!</v>
      </c>
      <c r="Y86" s="72" t="e">
        <f t="shared" si="24"/>
        <v>#DIV/0!</v>
      </c>
      <c r="Z86" s="72" t="e">
        <f t="shared" si="25"/>
        <v>#DIV/0!</v>
      </c>
      <c r="AA86" s="72" t="e">
        <f t="shared" si="26"/>
        <v>#DIV/0!</v>
      </c>
      <c r="AB86" s="73">
        <v>83</v>
      </c>
      <c r="AC86" s="74">
        <f t="shared" si="27"/>
        <v>0</v>
      </c>
      <c r="AD86" s="86">
        <f t="shared" si="20"/>
        <v>0</v>
      </c>
      <c r="AE86" s="74">
        <f t="shared" si="23"/>
        <v>0</v>
      </c>
      <c r="AF86" s="75">
        <f t="shared" si="28"/>
        <v>0</v>
      </c>
      <c r="AG86" s="75">
        <f t="shared" si="29"/>
        <v>0</v>
      </c>
      <c r="AH86" s="82">
        <f t="shared" si="35"/>
        <v>0</v>
      </c>
      <c r="AI86" s="93">
        <f t="shared" si="30"/>
        <v>0</v>
      </c>
      <c r="AJ86" s="92">
        <f t="shared" si="31"/>
        <v>0</v>
      </c>
      <c r="AK86" s="82">
        <f t="shared" si="32"/>
        <v>0</v>
      </c>
      <c r="AL86" s="82">
        <f t="shared" si="33"/>
        <v>0</v>
      </c>
      <c r="AM86" s="93">
        <f t="shared" si="34"/>
        <v>0</v>
      </c>
      <c r="AN86" s="16"/>
    </row>
    <row r="87" spans="1:40">
      <c r="A87" s="23">
        <f>' BZ_W'!A35</f>
        <v>0</v>
      </c>
      <c r="B87" s="27">
        <f>' BZ_W'!B35</f>
        <v>0</v>
      </c>
      <c r="C87" s="27">
        <f>' BZ_W'!C35</f>
        <v>0</v>
      </c>
      <c r="D87" s="27">
        <f>' BZ_W'!D35</f>
        <v>0</v>
      </c>
      <c r="E87" s="27">
        <f>' BZ_W'!E35</f>
        <v>0</v>
      </c>
      <c r="F87" s="27">
        <f>' BZ_W'!F35</f>
        <v>0</v>
      </c>
      <c r="G87" s="24">
        <f>' BZ_W'!G35</f>
        <v>0</v>
      </c>
      <c r="H87" s="45">
        <f>' BZ_W'!H35</f>
        <v>0</v>
      </c>
      <c r="I87" s="26">
        <f>' BZ_W'!I35</f>
        <v>0</v>
      </c>
      <c r="J87" s="27">
        <f>' BZ_W'!J35</f>
        <v>0</v>
      </c>
      <c r="K87" s="27">
        <f>' BZ_W'!K35</f>
        <v>0</v>
      </c>
      <c r="L87" s="25">
        <f>' BZ_W'!L35</f>
        <v>0</v>
      </c>
      <c r="M87" s="25">
        <f>' BZ_W'!M35</f>
        <v>0</v>
      </c>
      <c r="N87" s="25">
        <f>' BZ_W'!N35</f>
        <v>0</v>
      </c>
      <c r="O87" s="25">
        <f>' BZ_W'!O35</f>
        <v>0</v>
      </c>
      <c r="P87" s="25">
        <f>' BZ_W'!P35</f>
        <v>0</v>
      </c>
      <c r="Q87" s="25">
        <f>' BZ_W'!Q35</f>
        <v>0</v>
      </c>
      <c r="R87" s="27">
        <f>' BZ_W'!R35</f>
        <v>0</v>
      </c>
      <c r="S87" s="25">
        <f>' BZ_W'!S35</f>
        <v>0</v>
      </c>
      <c r="T87" s="25">
        <f>' BZ_W'!T35</f>
        <v>0</v>
      </c>
      <c r="U87" s="36">
        <f>' BZ_W'!U35</f>
        <v>0</v>
      </c>
      <c r="V87" s="37">
        <f>' BZ_W'!V35</f>
        <v>0</v>
      </c>
      <c r="W87" s="70">
        <f t="shared" si="21"/>
        <v>0</v>
      </c>
      <c r="X87" s="71" t="e">
        <f t="shared" si="22"/>
        <v>#DIV/0!</v>
      </c>
      <c r="Y87" s="72" t="e">
        <f t="shared" si="24"/>
        <v>#DIV/0!</v>
      </c>
      <c r="Z87" s="72" t="e">
        <f t="shared" si="25"/>
        <v>#DIV/0!</v>
      </c>
      <c r="AA87" s="72" t="e">
        <f t="shared" si="26"/>
        <v>#DIV/0!</v>
      </c>
      <c r="AB87" s="73">
        <v>84</v>
      </c>
      <c r="AC87" s="74">
        <f t="shared" si="27"/>
        <v>0</v>
      </c>
      <c r="AD87" s="86">
        <f t="shared" si="20"/>
        <v>0</v>
      </c>
      <c r="AE87" s="74">
        <f t="shared" si="23"/>
        <v>0</v>
      </c>
      <c r="AF87" s="75">
        <f t="shared" si="28"/>
        <v>0</v>
      </c>
      <c r="AG87" s="75">
        <f t="shared" si="29"/>
        <v>0</v>
      </c>
      <c r="AH87" s="82">
        <f t="shared" si="35"/>
        <v>0</v>
      </c>
      <c r="AI87" s="93">
        <f t="shared" si="30"/>
        <v>0</v>
      </c>
      <c r="AJ87" s="92">
        <f t="shared" si="31"/>
        <v>0</v>
      </c>
      <c r="AK87" s="82">
        <f t="shared" si="32"/>
        <v>0</v>
      </c>
      <c r="AL87" s="82">
        <f t="shared" si="33"/>
        <v>0</v>
      </c>
      <c r="AM87" s="93">
        <f t="shared" si="34"/>
        <v>0</v>
      </c>
      <c r="AN87" s="16"/>
    </row>
    <row r="88" spans="1:40">
      <c r="A88" s="23">
        <f>' BZ_W'!A36</f>
        <v>0</v>
      </c>
      <c r="B88" s="27">
        <f>' BZ_W'!B36</f>
        <v>0</v>
      </c>
      <c r="C88" s="27">
        <f>' BZ_W'!C36</f>
        <v>0</v>
      </c>
      <c r="D88" s="27">
        <f>' BZ_W'!D36</f>
        <v>0</v>
      </c>
      <c r="E88" s="27">
        <f>' BZ_W'!E36</f>
        <v>0</v>
      </c>
      <c r="F88" s="27">
        <f>' BZ_W'!F36</f>
        <v>0</v>
      </c>
      <c r="G88" s="24">
        <f>' BZ_W'!G36</f>
        <v>0</v>
      </c>
      <c r="H88" s="45">
        <f>' BZ_W'!H36</f>
        <v>0</v>
      </c>
      <c r="I88" s="26">
        <f>' BZ_W'!I36</f>
        <v>0</v>
      </c>
      <c r="J88" s="27">
        <f>' BZ_W'!J36</f>
        <v>0</v>
      </c>
      <c r="K88" s="27">
        <f>' BZ_W'!K36</f>
        <v>0</v>
      </c>
      <c r="L88" s="25">
        <f>' BZ_W'!L36</f>
        <v>0</v>
      </c>
      <c r="M88" s="25">
        <f>' BZ_W'!M36</f>
        <v>0</v>
      </c>
      <c r="N88" s="25">
        <f>' BZ_W'!N36</f>
        <v>0</v>
      </c>
      <c r="O88" s="25">
        <f>' BZ_W'!O36</f>
        <v>0</v>
      </c>
      <c r="P88" s="25">
        <f>' BZ_W'!P36</f>
        <v>0</v>
      </c>
      <c r="Q88" s="25">
        <f>' BZ_W'!Q36</f>
        <v>0</v>
      </c>
      <c r="R88" s="27">
        <f>' BZ_W'!R36</f>
        <v>0</v>
      </c>
      <c r="S88" s="25">
        <f>' BZ_W'!S36</f>
        <v>0</v>
      </c>
      <c r="T88" s="25">
        <f>' BZ_W'!T36</f>
        <v>0</v>
      </c>
      <c r="U88" s="36">
        <f>' BZ_W'!U36</f>
        <v>0</v>
      </c>
      <c r="V88" s="37">
        <f>' BZ_W'!V36</f>
        <v>0</v>
      </c>
      <c r="W88" s="70">
        <f t="shared" si="21"/>
        <v>0</v>
      </c>
      <c r="X88" s="71" t="e">
        <f t="shared" si="22"/>
        <v>#DIV/0!</v>
      </c>
      <c r="Y88" s="72" t="e">
        <f t="shared" si="24"/>
        <v>#DIV/0!</v>
      </c>
      <c r="Z88" s="72" t="e">
        <f t="shared" si="25"/>
        <v>#DIV/0!</v>
      </c>
      <c r="AA88" s="72" t="e">
        <f t="shared" si="26"/>
        <v>#DIV/0!</v>
      </c>
      <c r="AB88" s="73">
        <v>85</v>
      </c>
      <c r="AC88" s="74">
        <f t="shared" si="27"/>
        <v>0</v>
      </c>
      <c r="AD88" s="86">
        <f t="shared" si="20"/>
        <v>0</v>
      </c>
      <c r="AE88" s="74">
        <f t="shared" si="23"/>
        <v>0</v>
      </c>
      <c r="AF88" s="75">
        <f t="shared" si="28"/>
        <v>0</v>
      </c>
      <c r="AG88" s="75">
        <f t="shared" si="29"/>
        <v>0</v>
      </c>
      <c r="AH88" s="82">
        <f t="shared" si="35"/>
        <v>0</v>
      </c>
      <c r="AI88" s="93">
        <f t="shared" si="30"/>
        <v>0</v>
      </c>
      <c r="AJ88" s="92">
        <f t="shared" si="31"/>
        <v>0</v>
      </c>
      <c r="AK88" s="82">
        <f t="shared" si="32"/>
        <v>0</v>
      </c>
      <c r="AL88" s="82">
        <f t="shared" si="33"/>
        <v>0</v>
      </c>
      <c r="AM88" s="93">
        <f t="shared" si="34"/>
        <v>0</v>
      </c>
      <c r="AN88" s="16"/>
    </row>
    <row r="89" spans="1:40">
      <c r="A89" s="23">
        <f>' BZ_W'!A37</f>
        <v>0</v>
      </c>
      <c r="B89" s="27">
        <f>' BZ_W'!B37</f>
        <v>0</v>
      </c>
      <c r="C89" s="27">
        <f>' BZ_W'!C37</f>
        <v>0</v>
      </c>
      <c r="D89" s="27">
        <f>' BZ_W'!D37</f>
        <v>0</v>
      </c>
      <c r="E89" s="27">
        <f>' BZ_W'!E37</f>
        <v>0</v>
      </c>
      <c r="F89" s="27">
        <f>' BZ_W'!F37</f>
        <v>0</v>
      </c>
      <c r="G89" s="24">
        <f>' BZ_W'!G37</f>
        <v>0</v>
      </c>
      <c r="H89" s="45">
        <f>' BZ_W'!H37</f>
        <v>0</v>
      </c>
      <c r="I89" s="26">
        <f>' BZ_W'!I37</f>
        <v>0</v>
      </c>
      <c r="J89" s="27">
        <f>' BZ_W'!J37</f>
        <v>0</v>
      </c>
      <c r="K89" s="27">
        <f>' BZ_W'!K37</f>
        <v>0</v>
      </c>
      <c r="L89" s="25">
        <f>' BZ_W'!L37</f>
        <v>0</v>
      </c>
      <c r="M89" s="25">
        <f>' BZ_W'!M37</f>
        <v>0</v>
      </c>
      <c r="N89" s="25">
        <f>' BZ_W'!N37</f>
        <v>0</v>
      </c>
      <c r="O89" s="25">
        <f>' BZ_W'!O37</f>
        <v>0</v>
      </c>
      <c r="P89" s="25">
        <f>' BZ_W'!P37</f>
        <v>0</v>
      </c>
      <c r="Q89" s="25">
        <f>' BZ_W'!Q37</f>
        <v>0</v>
      </c>
      <c r="R89" s="27">
        <f>' BZ_W'!R37</f>
        <v>0</v>
      </c>
      <c r="S89" s="25">
        <f>' BZ_W'!S37</f>
        <v>0</v>
      </c>
      <c r="T89" s="25">
        <f>' BZ_W'!T37</f>
        <v>0</v>
      </c>
      <c r="U89" s="36">
        <f>' BZ_W'!U37</f>
        <v>0</v>
      </c>
      <c r="V89" s="37">
        <f>' BZ_W'!V37</f>
        <v>0</v>
      </c>
      <c r="W89" s="70">
        <f t="shared" si="21"/>
        <v>0</v>
      </c>
      <c r="X89" s="71" t="e">
        <f t="shared" si="22"/>
        <v>#DIV/0!</v>
      </c>
      <c r="Y89" s="72" t="e">
        <f t="shared" si="24"/>
        <v>#DIV/0!</v>
      </c>
      <c r="Z89" s="72" t="e">
        <f t="shared" si="25"/>
        <v>#DIV/0!</v>
      </c>
      <c r="AA89" s="72" t="e">
        <f t="shared" si="26"/>
        <v>#DIV/0!</v>
      </c>
      <c r="AB89" s="73">
        <v>86</v>
      </c>
      <c r="AC89" s="74">
        <f t="shared" si="27"/>
        <v>0</v>
      </c>
      <c r="AD89" s="86">
        <f t="shared" si="20"/>
        <v>0</v>
      </c>
      <c r="AE89" s="74">
        <f t="shared" si="23"/>
        <v>0</v>
      </c>
      <c r="AF89" s="75">
        <f t="shared" si="28"/>
        <v>0</v>
      </c>
      <c r="AG89" s="75">
        <f t="shared" si="29"/>
        <v>0</v>
      </c>
      <c r="AH89" s="82">
        <f t="shared" si="35"/>
        <v>0</v>
      </c>
      <c r="AI89" s="93">
        <f t="shared" si="30"/>
        <v>0</v>
      </c>
      <c r="AJ89" s="92">
        <f t="shared" si="31"/>
        <v>0</v>
      </c>
      <c r="AK89" s="82">
        <f t="shared" si="32"/>
        <v>0</v>
      </c>
      <c r="AL89" s="82">
        <f t="shared" si="33"/>
        <v>0</v>
      </c>
      <c r="AM89" s="93">
        <f t="shared" si="34"/>
        <v>0</v>
      </c>
      <c r="AN89" s="16"/>
    </row>
    <row r="90" spans="1:40">
      <c r="A90" s="23">
        <f>' BZ_W'!A38</f>
        <v>0</v>
      </c>
      <c r="B90" s="27">
        <f>' BZ_W'!B38</f>
        <v>0</v>
      </c>
      <c r="C90" s="27">
        <f>' BZ_W'!C38</f>
        <v>0</v>
      </c>
      <c r="D90" s="27">
        <f>' BZ_W'!D38</f>
        <v>0</v>
      </c>
      <c r="E90" s="27">
        <f>' BZ_W'!E38</f>
        <v>0</v>
      </c>
      <c r="F90" s="27">
        <f>' BZ_W'!F38</f>
        <v>0</v>
      </c>
      <c r="G90" s="24">
        <f>' BZ_W'!G38</f>
        <v>0</v>
      </c>
      <c r="H90" s="45">
        <f>' BZ_W'!H38</f>
        <v>0</v>
      </c>
      <c r="I90" s="26">
        <f>' BZ_W'!I38</f>
        <v>0</v>
      </c>
      <c r="J90" s="27">
        <f>' BZ_W'!J38</f>
        <v>0</v>
      </c>
      <c r="K90" s="27">
        <f>' BZ_W'!K38</f>
        <v>0</v>
      </c>
      <c r="L90" s="25">
        <f>' BZ_W'!L38</f>
        <v>0</v>
      </c>
      <c r="M90" s="25">
        <f>' BZ_W'!M38</f>
        <v>0</v>
      </c>
      <c r="N90" s="25">
        <f>' BZ_W'!N38</f>
        <v>0</v>
      </c>
      <c r="O90" s="25">
        <f>' BZ_W'!O38</f>
        <v>0</v>
      </c>
      <c r="P90" s="25">
        <f>' BZ_W'!P38</f>
        <v>0</v>
      </c>
      <c r="Q90" s="25">
        <f>' BZ_W'!Q38</f>
        <v>0</v>
      </c>
      <c r="R90" s="27">
        <f>' BZ_W'!R38</f>
        <v>0</v>
      </c>
      <c r="S90" s="25">
        <f>' BZ_W'!S38</f>
        <v>0</v>
      </c>
      <c r="T90" s="25">
        <f>' BZ_W'!T38</f>
        <v>0</v>
      </c>
      <c r="U90" s="36">
        <f>' BZ_W'!U38</f>
        <v>0</v>
      </c>
      <c r="V90" s="37">
        <f>' BZ_W'!V38</f>
        <v>0</v>
      </c>
      <c r="W90" s="70">
        <f t="shared" si="21"/>
        <v>0</v>
      </c>
      <c r="X90" s="71" t="e">
        <f t="shared" si="22"/>
        <v>#DIV/0!</v>
      </c>
      <c r="Y90" s="72" t="e">
        <f t="shared" si="24"/>
        <v>#DIV/0!</v>
      </c>
      <c r="Z90" s="72" t="e">
        <f t="shared" si="25"/>
        <v>#DIV/0!</v>
      </c>
      <c r="AA90" s="72" t="e">
        <f t="shared" si="26"/>
        <v>#DIV/0!</v>
      </c>
      <c r="AB90" s="73">
        <v>87</v>
      </c>
      <c r="AC90" s="74">
        <f t="shared" si="27"/>
        <v>0</v>
      </c>
      <c r="AD90" s="86">
        <f t="shared" si="20"/>
        <v>0</v>
      </c>
      <c r="AE90" s="74">
        <f t="shared" si="23"/>
        <v>0</v>
      </c>
      <c r="AF90" s="75">
        <f t="shared" si="28"/>
        <v>0</v>
      </c>
      <c r="AG90" s="75">
        <f t="shared" si="29"/>
        <v>0</v>
      </c>
      <c r="AH90" s="82">
        <f t="shared" si="35"/>
        <v>0</v>
      </c>
      <c r="AI90" s="93">
        <f t="shared" si="30"/>
        <v>0</v>
      </c>
      <c r="AJ90" s="92">
        <f t="shared" si="31"/>
        <v>0</v>
      </c>
      <c r="AK90" s="82">
        <f t="shared" si="32"/>
        <v>0</v>
      </c>
      <c r="AL90" s="82">
        <f t="shared" si="33"/>
        <v>0</v>
      </c>
      <c r="AM90" s="93">
        <f t="shared" si="34"/>
        <v>0</v>
      </c>
      <c r="AN90" s="16"/>
    </row>
    <row r="91" spans="1:40">
      <c r="A91" s="23">
        <f>' BZ_W'!A39</f>
        <v>0</v>
      </c>
      <c r="B91" s="27">
        <f>' BZ_W'!B39</f>
        <v>0</v>
      </c>
      <c r="C91" s="27">
        <f>' BZ_W'!C39</f>
        <v>0</v>
      </c>
      <c r="D91" s="27">
        <f>' BZ_W'!D39</f>
        <v>0</v>
      </c>
      <c r="E91" s="27">
        <f>' BZ_W'!E39</f>
        <v>0</v>
      </c>
      <c r="F91" s="27">
        <f>' BZ_W'!F39</f>
        <v>0</v>
      </c>
      <c r="G91" s="24">
        <f>' BZ_W'!G39</f>
        <v>0</v>
      </c>
      <c r="H91" s="45">
        <f>' BZ_W'!H39</f>
        <v>0</v>
      </c>
      <c r="I91" s="26">
        <f>' BZ_W'!I39</f>
        <v>0</v>
      </c>
      <c r="J91" s="27">
        <f>' BZ_W'!J39</f>
        <v>0</v>
      </c>
      <c r="K91" s="27">
        <f>' BZ_W'!K39</f>
        <v>0</v>
      </c>
      <c r="L91" s="25">
        <f>' BZ_W'!L39</f>
        <v>0</v>
      </c>
      <c r="M91" s="25">
        <f>' BZ_W'!M39</f>
        <v>0</v>
      </c>
      <c r="N91" s="25">
        <f>' BZ_W'!N39</f>
        <v>0</v>
      </c>
      <c r="O91" s="25">
        <f>' BZ_W'!O39</f>
        <v>0</v>
      </c>
      <c r="P91" s="25">
        <f>' BZ_W'!P39</f>
        <v>0</v>
      </c>
      <c r="Q91" s="25">
        <f>' BZ_W'!Q39</f>
        <v>0</v>
      </c>
      <c r="R91" s="27">
        <f>' BZ_W'!R39</f>
        <v>0</v>
      </c>
      <c r="S91" s="25">
        <f>' BZ_W'!S39</f>
        <v>0</v>
      </c>
      <c r="T91" s="25">
        <f>' BZ_W'!T39</f>
        <v>0</v>
      </c>
      <c r="U91" s="36">
        <f>' BZ_W'!U39</f>
        <v>0</v>
      </c>
      <c r="V91" s="37">
        <f>' BZ_W'!V39</f>
        <v>0</v>
      </c>
      <c r="W91" s="70">
        <f t="shared" si="21"/>
        <v>0</v>
      </c>
      <c r="X91" s="71" t="e">
        <f t="shared" si="22"/>
        <v>#DIV/0!</v>
      </c>
      <c r="Y91" s="72" t="e">
        <f t="shared" si="24"/>
        <v>#DIV/0!</v>
      </c>
      <c r="Z91" s="72" t="e">
        <f t="shared" si="25"/>
        <v>#DIV/0!</v>
      </c>
      <c r="AA91" s="72" t="e">
        <f t="shared" si="26"/>
        <v>#DIV/0!</v>
      </c>
      <c r="AB91" s="73">
        <v>88</v>
      </c>
      <c r="AC91" s="74">
        <f t="shared" si="27"/>
        <v>0</v>
      </c>
      <c r="AD91" s="86">
        <f t="shared" si="20"/>
        <v>0</v>
      </c>
      <c r="AE91" s="74">
        <f t="shared" si="23"/>
        <v>0</v>
      </c>
      <c r="AF91" s="75">
        <f t="shared" si="28"/>
        <v>0</v>
      </c>
      <c r="AG91" s="75">
        <f t="shared" si="29"/>
        <v>0</v>
      </c>
      <c r="AH91" s="82">
        <f t="shared" si="35"/>
        <v>0</v>
      </c>
      <c r="AI91" s="93">
        <f t="shared" si="30"/>
        <v>0</v>
      </c>
      <c r="AJ91" s="92">
        <f t="shared" si="31"/>
        <v>0</v>
      </c>
      <c r="AK91" s="82">
        <f t="shared" si="32"/>
        <v>0</v>
      </c>
      <c r="AL91" s="82">
        <f t="shared" si="33"/>
        <v>0</v>
      </c>
      <c r="AM91" s="93">
        <f t="shared" si="34"/>
        <v>0</v>
      </c>
      <c r="AN91" s="16"/>
    </row>
    <row r="92" spans="1:40">
      <c r="A92" s="23">
        <f>' BZ_W'!A40</f>
        <v>0</v>
      </c>
      <c r="B92" s="27">
        <f>' BZ_W'!B40</f>
        <v>0</v>
      </c>
      <c r="C92" s="27">
        <f>' BZ_W'!C40</f>
        <v>0</v>
      </c>
      <c r="D92" s="27">
        <f>' BZ_W'!D40</f>
        <v>0</v>
      </c>
      <c r="E92" s="27">
        <f>' BZ_W'!E40</f>
        <v>0</v>
      </c>
      <c r="F92" s="27">
        <f>' BZ_W'!F40</f>
        <v>0</v>
      </c>
      <c r="G92" s="24">
        <f>' BZ_W'!G40</f>
        <v>0</v>
      </c>
      <c r="H92" s="45">
        <f>' BZ_W'!H40</f>
        <v>0</v>
      </c>
      <c r="I92" s="26">
        <f>' BZ_W'!I40</f>
        <v>0</v>
      </c>
      <c r="J92" s="27">
        <f>' BZ_W'!J40</f>
        <v>0</v>
      </c>
      <c r="K92" s="27">
        <f>' BZ_W'!K40</f>
        <v>0</v>
      </c>
      <c r="L92" s="25">
        <f>' BZ_W'!L40</f>
        <v>0</v>
      </c>
      <c r="M92" s="25">
        <f>' BZ_W'!M40</f>
        <v>0</v>
      </c>
      <c r="N92" s="25">
        <f>' BZ_W'!N40</f>
        <v>0</v>
      </c>
      <c r="O92" s="25">
        <f>' BZ_W'!O40</f>
        <v>0</v>
      </c>
      <c r="P92" s="25">
        <f>' BZ_W'!P40</f>
        <v>0</v>
      </c>
      <c r="Q92" s="25">
        <f>' BZ_W'!Q40</f>
        <v>0</v>
      </c>
      <c r="R92" s="27">
        <f>' BZ_W'!R40</f>
        <v>0</v>
      </c>
      <c r="S92" s="25">
        <f>' BZ_W'!S40</f>
        <v>0</v>
      </c>
      <c r="T92" s="25">
        <f>' BZ_W'!T40</f>
        <v>0</v>
      </c>
      <c r="U92" s="36">
        <f>' BZ_W'!U40</f>
        <v>0</v>
      </c>
      <c r="V92" s="37">
        <f>' BZ_W'!V40</f>
        <v>0</v>
      </c>
      <c r="W92" s="70">
        <f t="shared" si="21"/>
        <v>0</v>
      </c>
      <c r="X92" s="71" t="e">
        <f t="shared" si="22"/>
        <v>#DIV/0!</v>
      </c>
      <c r="Y92" s="72" t="e">
        <f t="shared" si="24"/>
        <v>#DIV/0!</v>
      </c>
      <c r="Z92" s="72" t="e">
        <f t="shared" si="25"/>
        <v>#DIV/0!</v>
      </c>
      <c r="AA92" s="72" t="e">
        <f t="shared" si="26"/>
        <v>#DIV/0!</v>
      </c>
      <c r="AB92" s="73">
        <v>89</v>
      </c>
      <c r="AC92" s="74">
        <f t="shared" si="27"/>
        <v>0</v>
      </c>
      <c r="AD92" s="86">
        <f t="shared" si="20"/>
        <v>0</v>
      </c>
      <c r="AE92" s="74">
        <f t="shared" si="23"/>
        <v>0</v>
      </c>
      <c r="AF92" s="75">
        <f t="shared" si="28"/>
        <v>0</v>
      </c>
      <c r="AG92" s="75">
        <f t="shared" si="29"/>
        <v>0</v>
      </c>
      <c r="AH92" s="82">
        <f t="shared" si="35"/>
        <v>0</v>
      </c>
      <c r="AI92" s="93">
        <f t="shared" si="30"/>
        <v>0</v>
      </c>
      <c r="AJ92" s="92">
        <f t="shared" si="31"/>
        <v>0</v>
      </c>
      <c r="AK92" s="82">
        <f t="shared" si="32"/>
        <v>0</v>
      </c>
      <c r="AL92" s="82">
        <f t="shared" si="33"/>
        <v>0</v>
      </c>
      <c r="AM92" s="93">
        <f t="shared" si="34"/>
        <v>0</v>
      </c>
      <c r="AN92" s="16"/>
    </row>
    <row r="93" spans="1:40">
      <c r="A93" s="23">
        <f>' BZ_W'!A41</f>
        <v>0</v>
      </c>
      <c r="B93" s="27">
        <f>' BZ_W'!B41</f>
        <v>0</v>
      </c>
      <c r="C93" s="27">
        <f>' BZ_W'!C41</f>
        <v>0</v>
      </c>
      <c r="D93" s="27">
        <f>' BZ_W'!D41</f>
        <v>0</v>
      </c>
      <c r="E93" s="27">
        <f>' BZ_W'!E41</f>
        <v>0</v>
      </c>
      <c r="F93" s="27">
        <f>' BZ_W'!F41</f>
        <v>0</v>
      </c>
      <c r="G93" s="24">
        <f>' BZ_W'!G41</f>
        <v>0</v>
      </c>
      <c r="H93" s="45">
        <f>' BZ_W'!H41</f>
        <v>0</v>
      </c>
      <c r="I93" s="26">
        <f>' BZ_W'!I41</f>
        <v>0</v>
      </c>
      <c r="J93" s="27">
        <f>' BZ_W'!J41</f>
        <v>0</v>
      </c>
      <c r="K93" s="27">
        <f>' BZ_W'!K41</f>
        <v>0</v>
      </c>
      <c r="L93" s="25">
        <f>' BZ_W'!L41</f>
        <v>0</v>
      </c>
      <c r="M93" s="25">
        <f>' BZ_W'!M41</f>
        <v>0</v>
      </c>
      <c r="N93" s="25">
        <f>' BZ_W'!N41</f>
        <v>0</v>
      </c>
      <c r="O93" s="25">
        <f>' BZ_W'!O41</f>
        <v>0</v>
      </c>
      <c r="P93" s="25">
        <f>' BZ_W'!P41</f>
        <v>0</v>
      </c>
      <c r="Q93" s="25">
        <f>' BZ_W'!Q41</f>
        <v>0</v>
      </c>
      <c r="R93" s="27">
        <f>' BZ_W'!R41</f>
        <v>0</v>
      </c>
      <c r="S93" s="25">
        <f>' BZ_W'!S41</f>
        <v>0</v>
      </c>
      <c r="T93" s="25">
        <f>' BZ_W'!T41</f>
        <v>0</v>
      </c>
      <c r="U93" s="36">
        <f>' BZ_W'!U41</f>
        <v>0</v>
      </c>
      <c r="V93" s="37">
        <f>' BZ_W'!V41</f>
        <v>0</v>
      </c>
      <c r="W93" s="70">
        <f t="shared" si="21"/>
        <v>0</v>
      </c>
      <c r="X93" s="71" t="e">
        <f t="shared" si="22"/>
        <v>#DIV/0!</v>
      </c>
      <c r="Y93" s="72" t="e">
        <f t="shared" si="24"/>
        <v>#DIV/0!</v>
      </c>
      <c r="Z93" s="72" t="e">
        <f t="shared" si="25"/>
        <v>#DIV/0!</v>
      </c>
      <c r="AA93" s="72" t="e">
        <f t="shared" si="26"/>
        <v>#DIV/0!</v>
      </c>
      <c r="AB93" s="73">
        <v>90</v>
      </c>
      <c r="AC93" s="74">
        <f t="shared" si="27"/>
        <v>0</v>
      </c>
      <c r="AD93" s="86">
        <f t="shared" si="20"/>
        <v>0</v>
      </c>
      <c r="AE93" s="74">
        <f t="shared" si="23"/>
        <v>0</v>
      </c>
      <c r="AF93" s="75">
        <f t="shared" si="28"/>
        <v>0</v>
      </c>
      <c r="AG93" s="75">
        <f t="shared" si="29"/>
        <v>0</v>
      </c>
      <c r="AH93" s="82">
        <f t="shared" si="35"/>
        <v>0</v>
      </c>
      <c r="AI93" s="93">
        <f t="shared" si="30"/>
        <v>0</v>
      </c>
      <c r="AJ93" s="92">
        <f t="shared" si="31"/>
        <v>0</v>
      </c>
      <c r="AK93" s="82">
        <f t="shared" si="32"/>
        <v>0</v>
      </c>
      <c r="AL93" s="82">
        <f t="shared" si="33"/>
        <v>0</v>
      </c>
      <c r="AM93" s="93">
        <f t="shared" si="34"/>
        <v>0</v>
      </c>
      <c r="AN93" s="16"/>
    </row>
    <row r="94" spans="1:40">
      <c r="A94" s="23">
        <f>' BZ_W'!A42</f>
        <v>0</v>
      </c>
      <c r="B94" s="27">
        <f>' BZ_W'!B42</f>
        <v>0</v>
      </c>
      <c r="C94" s="27">
        <f>' BZ_W'!C42</f>
        <v>0</v>
      </c>
      <c r="D94" s="27">
        <f>' BZ_W'!D42</f>
        <v>0</v>
      </c>
      <c r="E94" s="27">
        <f>' BZ_W'!E42</f>
        <v>0</v>
      </c>
      <c r="F94" s="27">
        <f>' BZ_W'!F42</f>
        <v>0</v>
      </c>
      <c r="G94" s="24">
        <f>' BZ_W'!G42</f>
        <v>0</v>
      </c>
      <c r="H94" s="45">
        <f>' BZ_W'!H42</f>
        <v>0</v>
      </c>
      <c r="I94" s="26">
        <f>' BZ_W'!I42</f>
        <v>0</v>
      </c>
      <c r="J94" s="27">
        <f>' BZ_W'!J42</f>
        <v>0</v>
      </c>
      <c r="K94" s="27">
        <f>' BZ_W'!K42</f>
        <v>0</v>
      </c>
      <c r="L94" s="25">
        <f>' BZ_W'!L42</f>
        <v>0</v>
      </c>
      <c r="M94" s="25">
        <f>' BZ_W'!M42</f>
        <v>0</v>
      </c>
      <c r="N94" s="25">
        <f>' BZ_W'!N42</f>
        <v>0</v>
      </c>
      <c r="O94" s="25">
        <f>' BZ_W'!O42</f>
        <v>0</v>
      </c>
      <c r="P94" s="25">
        <f>' BZ_W'!P42</f>
        <v>0</v>
      </c>
      <c r="Q94" s="25">
        <f>' BZ_W'!Q42</f>
        <v>0</v>
      </c>
      <c r="R94" s="27">
        <f>' BZ_W'!R42</f>
        <v>0</v>
      </c>
      <c r="S94" s="25">
        <f>' BZ_W'!S42</f>
        <v>0</v>
      </c>
      <c r="T94" s="25">
        <f>' BZ_W'!T42</f>
        <v>0</v>
      </c>
      <c r="U94" s="36">
        <f>' BZ_W'!U42</f>
        <v>0</v>
      </c>
      <c r="V94" s="37">
        <f>' BZ_W'!V42</f>
        <v>0</v>
      </c>
      <c r="W94" s="70">
        <f t="shared" si="21"/>
        <v>0</v>
      </c>
      <c r="X94" s="71" t="e">
        <f t="shared" si="22"/>
        <v>#DIV/0!</v>
      </c>
      <c r="Y94" s="72" t="e">
        <f t="shared" si="24"/>
        <v>#DIV/0!</v>
      </c>
      <c r="Z94" s="72" t="e">
        <f t="shared" si="25"/>
        <v>#DIV/0!</v>
      </c>
      <c r="AA94" s="72" t="e">
        <f t="shared" si="26"/>
        <v>#DIV/0!</v>
      </c>
      <c r="AB94" s="73">
        <v>91</v>
      </c>
      <c r="AC94" s="74">
        <f t="shared" si="27"/>
        <v>0</v>
      </c>
      <c r="AD94" s="86">
        <f t="shared" si="20"/>
        <v>0</v>
      </c>
      <c r="AE94" s="74">
        <f t="shared" si="23"/>
        <v>0</v>
      </c>
      <c r="AF94" s="75">
        <f t="shared" si="28"/>
        <v>0</v>
      </c>
      <c r="AG94" s="75">
        <f t="shared" si="29"/>
        <v>0</v>
      </c>
      <c r="AH94" s="82">
        <f t="shared" si="35"/>
        <v>0</v>
      </c>
      <c r="AI94" s="93">
        <f t="shared" si="30"/>
        <v>0</v>
      </c>
      <c r="AJ94" s="92">
        <f t="shared" si="31"/>
        <v>0</v>
      </c>
      <c r="AK94" s="82">
        <f t="shared" si="32"/>
        <v>0</v>
      </c>
      <c r="AL94" s="82">
        <f t="shared" si="33"/>
        <v>0</v>
      </c>
      <c r="AM94" s="93">
        <f t="shared" si="34"/>
        <v>0</v>
      </c>
      <c r="AN94" s="16"/>
    </row>
    <row r="95" spans="1:40">
      <c r="A95" s="23">
        <f>' BZ_W'!A43</f>
        <v>0</v>
      </c>
      <c r="B95" s="27">
        <f>' BZ_W'!B43</f>
        <v>0</v>
      </c>
      <c r="C95" s="27">
        <f>' BZ_W'!C43</f>
        <v>0</v>
      </c>
      <c r="D95" s="27">
        <f>' BZ_W'!D43</f>
        <v>0</v>
      </c>
      <c r="E95" s="27">
        <f>' BZ_W'!E43</f>
        <v>0</v>
      </c>
      <c r="F95" s="27">
        <f>' BZ_W'!F43</f>
        <v>0</v>
      </c>
      <c r="G95" s="24">
        <f>' BZ_W'!G43</f>
        <v>0</v>
      </c>
      <c r="H95" s="45">
        <f>' BZ_W'!H43</f>
        <v>0</v>
      </c>
      <c r="I95" s="26">
        <f>' BZ_W'!I43</f>
        <v>0</v>
      </c>
      <c r="J95" s="27">
        <f>' BZ_W'!J43</f>
        <v>0</v>
      </c>
      <c r="K95" s="27">
        <f>' BZ_W'!K43</f>
        <v>0</v>
      </c>
      <c r="L95" s="25">
        <f>' BZ_W'!L43</f>
        <v>0</v>
      </c>
      <c r="M95" s="25">
        <f>' BZ_W'!M43</f>
        <v>0</v>
      </c>
      <c r="N95" s="25">
        <f>' BZ_W'!N43</f>
        <v>0</v>
      </c>
      <c r="O95" s="25">
        <f>' BZ_W'!O43</f>
        <v>0</v>
      </c>
      <c r="P95" s="25">
        <f>' BZ_W'!P43</f>
        <v>0</v>
      </c>
      <c r="Q95" s="25">
        <f>' BZ_W'!Q43</f>
        <v>0</v>
      </c>
      <c r="R95" s="27">
        <f>' BZ_W'!R43</f>
        <v>0</v>
      </c>
      <c r="S95" s="25">
        <f>' BZ_W'!S43</f>
        <v>0</v>
      </c>
      <c r="T95" s="25">
        <f>' BZ_W'!T43</f>
        <v>0</v>
      </c>
      <c r="U95" s="36">
        <f>' BZ_W'!U43</f>
        <v>0</v>
      </c>
      <c r="V95" s="37">
        <f>' BZ_W'!V43</f>
        <v>0</v>
      </c>
      <c r="W95" s="70">
        <f t="shared" si="21"/>
        <v>0</v>
      </c>
      <c r="X95" s="71" t="e">
        <f t="shared" si="22"/>
        <v>#DIV/0!</v>
      </c>
      <c r="Y95" s="72" t="e">
        <f t="shared" si="24"/>
        <v>#DIV/0!</v>
      </c>
      <c r="Z95" s="72" t="e">
        <f t="shared" si="25"/>
        <v>#DIV/0!</v>
      </c>
      <c r="AA95" s="72" t="e">
        <f t="shared" si="26"/>
        <v>#DIV/0!</v>
      </c>
      <c r="AB95" s="73">
        <v>92</v>
      </c>
      <c r="AC95" s="74">
        <f t="shared" si="27"/>
        <v>0</v>
      </c>
      <c r="AD95" s="86">
        <f t="shared" si="20"/>
        <v>0</v>
      </c>
      <c r="AE95" s="74">
        <f t="shared" si="23"/>
        <v>0</v>
      </c>
      <c r="AF95" s="75">
        <f t="shared" si="28"/>
        <v>0</v>
      </c>
      <c r="AG95" s="75">
        <f t="shared" si="29"/>
        <v>0</v>
      </c>
      <c r="AH95" s="82">
        <f t="shared" si="35"/>
        <v>0</v>
      </c>
      <c r="AI95" s="93">
        <f t="shared" si="30"/>
        <v>0</v>
      </c>
      <c r="AJ95" s="92">
        <f t="shared" si="31"/>
        <v>0</v>
      </c>
      <c r="AK95" s="82">
        <f t="shared" si="32"/>
        <v>0</v>
      </c>
      <c r="AL95" s="82">
        <f t="shared" si="33"/>
        <v>0</v>
      </c>
      <c r="AM95" s="93">
        <f t="shared" si="34"/>
        <v>0</v>
      </c>
      <c r="AN95" s="16"/>
    </row>
    <row r="96" spans="1:40">
      <c r="A96" s="23">
        <f>' BZ_W'!A44</f>
        <v>0</v>
      </c>
      <c r="B96" s="27">
        <f>' BZ_W'!B44</f>
        <v>0</v>
      </c>
      <c r="C96" s="27">
        <f>' BZ_W'!C44</f>
        <v>0</v>
      </c>
      <c r="D96" s="27">
        <f>' BZ_W'!D44</f>
        <v>0</v>
      </c>
      <c r="E96" s="27">
        <f>' BZ_W'!E44</f>
        <v>0</v>
      </c>
      <c r="F96" s="27">
        <f>' BZ_W'!F44</f>
        <v>0</v>
      </c>
      <c r="G96" s="24">
        <f>' BZ_W'!G44</f>
        <v>0</v>
      </c>
      <c r="H96" s="45">
        <f>' BZ_W'!H44</f>
        <v>0</v>
      </c>
      <c r="I96" s="26">
        <f>' BZ_W'!I44</f>
        <v>0</v>
      </c>
      <c r="J96" s="27">
        <f>' BZ_W'!J44</f>
        <v>0</v>
      </c>
      <c r="K96" s="27">
        <f>' BZ_W'!K44</f>
        <v>0</v>
      </c>
      <c r="L96" s="25">
        <f>' BZ_W'!L44</f>
        <v>0</v>
      </c>
      <c r="M96" s="25">
        <f>' BZ_W'!M44</f>
        <v>0</v>
      </c>
      <c r="N96" s="25">
        <f>' BZ_W'!N44</f>
        <v>0</v>
      </c>
      <c r="O96" s="25">
        <f>' BZ_W'!O44</f>
        <v>0</v>
      </c>
      <c r="P96" s="25">
        <f>' BZ_W'!P44</f>
        <v>0</v>
      </c>
      <c r="Q96" s="25">
        <f>' BZ_W'!Q44</f>
        <v>0</v>
      </c>
      <c r="R96" s="27">
        <f>' BZ_W'!R44</f>
        <v>0</v>
      </c>
      <c r="S96" s="25">
        <f>' BZ_W'!S44</f>
        <v>0</v>
      </c>
      <c r="T96" s="25">
        <f>' BZ_W'!T44</f>
        <v>0</v>
      </c>
      <c r="U96" s="36">
        <f>' BZ_W'!U44</f>
        <v>0</v>
      </c>
      <c r="V96" s="37">
        <f>' BZ_W'!V44</f>
        <v>0</v>
      </c>
      <c r="W96" s="70">
        <f t="shared" si="21"/>
        <v>0</v>
      </c>
      <c r="X96" s="71" t="e">
        <f t="shared" si="22"/>
        <v>#DIV/0!</v>
      </c>
      <c r="Y96" s="72" t="e">
        <f t="shared" si="24"/>
        <v>#DIV/0!</v>
      </c>
      <c r="Z96" s="72" t="e">
        <f t="shared" si="25"/>
        <v>#DIV/0!</v>
      </c>
      <c r="AA96" s="72" t="e">
        <f t="shared" si="26"/>
        <v>#DIV/0!</v>
      </c>
      <c r="AB96" s="73">
        <v>93</v>
      </c>
      <c r="AC96" s="74">
        <f t="shared" si="27"/>
        <v>0</v>
      </c>
      <c r="AD96" s="86">
        <f t="shared" si="20"/>
        <v>0</v>
      </c>
      <c r="AE96" s="74">
        <f t="shared" si="23"/>
        <v>0</v>
      </c>
      <c r="AF96" s="75">
        <f t="shared" si="28"/>
        <v>0</v>
      </c>
      <c r="AG96" s="75">
        <f t="shared" si="29"/>
        <v>0</v>
      </c>
      <c r="AH96" s="82">
        <f t="shared" si="35"/>
        <v>0</v>
      </c>
      <c r="AI96" s="93">
        <f t="shared" si="30"/>
        <v>0</v>
      </c>
      <c r="AJ96" s="92">
        <f t="shared" si="31"/>
        <v>0</v>
      </c>
      <c r="AK96" s="82">
        <f t="shared" si="32"/>
        <v>0</v>
      </c>
      <c r="AL96" s="82">
        <f t="shared" si="33"/>
        <v>0</v>
      </c>
      <c r="AM96" s="93">
        <f t="shared" si="34"/>
        <v>0</v>
      </c>
      <c r="AN96" s="16"/>
    </row>
    <row r="97" spans="1:40">
      <c r="A97" s="23">
        <f>' BZ_W'!A45</f>
        <v>0</v>
      </c>
      <c r="B97" s="27">
        <f>' BZ_W'!B45</f>
        <v>0</v>
      </c>
      <c r="C97" s="27">
        <f>' BZ_W'!C45</f>
        <v>0</v>
      </c>
      <c r="D97" s="27">
        <f>' BZ_W'!D45</f>
        <v>0</v>
      </c>
      <c r="E97" s="27">
        <f>' BZ_W'!E45</f>
        <v>0</v>
      </c>
      <c r="F97" s="27">
        <f>' BZ_W'!F45</f>
        <v>0</v>
      </c>
      <c r="G97" s="24">
        <f>' BZ_W'!G45</f>
        <v>0</v>
      </c>
      <c r="H97" s="45">
        <f>' BZ_W'!H45</f>
        <v>0</v>
      </c>
      <c r="I97" s="26">
        <f>' BZ_W'!I45</f>
        <v>0</v>
      </c>
      <c r="J97" s="27">
        <f>' BZ_W'!J45</f>
        <v>0</v>
      </c>
      <c r="K97" s="27">
        <f>' BZ_W'!K45</f>
        <v>0</v>
      </c>
      <c r="L97" s="25">
        <f>' BZ_W'!L45</f>
        <v>0</v>
      </c>
      <c r="M97" s="25">
        <f>' BZ_W'!M45</f>
        <v>0</v>
      </c>
      <c r="N97" s="25">
        <f>' BZ_W'!N45</f>
        <v>0</v>
      </c>
      <c r="O97" s="25">
        <f>' BZ_W'!O45</f>
        <v>0</v>
      </c>
      <c r="P97" s="25">
        <f>' BZ_W'!P45</f>
        <v>0</v>
      </c>
      <c r="Q97" s="25">
        <f>' BZ_W'!Q45</f>
        <v>0</v>
      </c>
      <c r="R97" s="27">
        <f>' BZ_W'!R45</f>
        <v>0</v>
      </c>
      <c r="S97" s="25">
        <f>' BZ_W'!S45</f>
        <v>0</v>
      </c>
      <c r="T97" s="25">
        <f>' BZ_W'!T45</f>
        <v>0</v>
      </c>
      <c r="U97" s="36">
        <f>' BZ_W'!U45</f>
        <v>0</v>
      </c>
      <c r="V97" s="37">
        <f>' BZ_W'!V45</f>
        <v>0</v>
      </c>
      <c r="W97" s="70">
        <f t="shared" si="21"/>
        <v>0</v>
      </c>
      <c r="X97" s="71" t="e">
        <f t="shared" si="22"/>
        <v>#DIV/0!</v>
      </c>
      <c r="Y97" s="72" t="e">
        <f t="shared" si="24"/>
        <v>#DIV/0!</v>
      </c>
      <c r="Z97" s="72" t="e">
        <f t="shared" si="25"/>
        <v>#DIV/0!</v>
      </c>
      <c r="AA97" s="72" t="e">
        <f t="shared" si="26"/>
        <v>#DIV/0!</v>
      </c>
      <c r="AB97" s="73">
        <v>94</v>
      </c>
      <c r="AC97" s="74">
        <f t="shared" si="27"/>
        <v>0</v>
      </c>
      <c r="AD97" s="86">
        <f t="shared" si="20"/>
        <v>0</v>
      </c>
      <c r="AE97" s="74">
        <f t="shared" si="23"/>
        <v>0</v>
      </c>
      <c r="AF97" s="75">
        <f t="shared" si="28"/>
        <v>0</v>
      </c>
      <c r="AG97" s="75">
        <f t="shared" si="29"/>
        <v>0</v>
      </c>
      <c r="AH97" s="82">
        <f t="shared" si="35"/>
        <v>0</v>
      </c>
      <c r="AI97" s="93">
        <f t="shared" si="30"/>
        <v>0</v>
      </c>
      <c r="AJ97" s="92">
        <f t="shared" si="31"/>
        <v>0</v>
      </c>
      <c r="AK97" s="82">
        <f t="shared" si="32"/>
        <v>0</v>
      </c>
      <c r="AL97" s="82">
        <f t="shared" si="33"/>
        <v>0</v>
      </c>
      <c r="AM97" s="93">
        <f t="shared" si="34"/>
        <v>0</v>
      </c>
      <c r="AN97" s="16"/>
    </row>
    <row r="98" spans="1:40">
      <c r="A98" s="23">
        <f>' BZ_W'!A46</f>
        <v>0</v>
      </c>
      <c r="B98" s="27">
        <f>' BZ_W'!B46</f>
        <v>0</v>
      </c>
      <c r="C98" s="27">
        <f>' BZ_W'!C46</f>
        <v>0</v>
      </c>
      <c r="D98" s="27">
        <f>' BZ_W'!D46</f>
        <v>0</v>
      </c>
      <c r="E98" s="27">
        <f>' BZ_W'!E46</f>
        <v>0</v>
      </c>
      <c r="F98" s="27">
        <f>' BZ_W'!F46</f>
        <v>0</v>
      </c>
      <c r="G98" s="24">
        <f>' BZ_W'!G46</f>
        <v>0</v>
      </c>
      <c r="H98" s="45">
        <f>' BZ_W'!H46</f>
        <v>0</v>
      </c>
      <c r="I98" s="26">
        <f>' BZ_W'!I46</f>
        <v>0</v>
      </c>
      <c r="J98" s="27">
        <f>' BZ_W'!J46</f>
        <v>0</v>
      </c>
      <c r="K98" s="27">
        <f>' BZ_W'!K46</f>
        <v>0</v>
      </c>
      <c r="L98" s="25">
        <f>' BZ_W'!L46</f>
        <v>0</v>
      </c>
      <c r="M98" s="25">
        <f>' BZ_W'!M46</f>
        <v>0</v>
      </c>
      <c r="N98" s="25">
        <f>' BZ_W'!N46</f>
        <v>0</v>
      </c>
      <c r="O98" s="25">
        <f>' BZ_W'!O46</f>
        <v>0</v>
      </c>
      <c r="P98" s="25">
        <f>' BZ_W'!P46</f>
        <v>0</v>
      </c>
      <c r="Q98" s="25">
        <f>' BZ_W'!Q46</f>
        <v>0</v>
      </c>
      <c r="R98" s="27">
        <f>' BZ_W'!R46</f>
        <v>0</v>
      </c>
      <c r="S98" s="25">
        <f>' BZ_W'!S46</f>
        <v>0</v>
      </c>
      <c r="T98" s="25">
        <f>' BZ_W'!T46</f>
        <v>0</v>
      </c>
      <c r="U98" s="36">
        <f>' BZ_W'!U46</f>
        <v>0</v>
      </c>
      <c r="V98" s="37">
        <f>' BZ_W'!V46</f>
        <v>0</v>
      </c>
      <c r="W98" s="70">
        <f t="shared" si="21"/>
        <v>0</v>
      </c>
      <c r="X98" s="71" t="e">
        <f t="shared" si="22"/>
        <v>#DIV/0!</v>
      </c>
      <c r="Y98" s="72" t="e">
        <f t="shared" si="24"/>
        <v>#DIV/0!</v>
      </c>
      <c r="Z98" s="72" t="e">
        <f t="shared" si="25"/>
        <v>#DIV/0!</v>
      </c>
      <c r="AA98" s="72" t="e">
        <f t="shared" si="26"/>
        <v>#DIV/0!</v>
      </c>
      <c r="AB98" s="73">
        <v>95</v>
      </c>
      <c r="AC98" s="74">
        <f t="shared" si="27"/>
        <v>0</v>
      </c>
      <c r="AD98" s="86">
        <f t="shared" si="20"/>
        <v>0</v>
      </c>
      <c r="AE98" s="74">
        <f t="shared" si="23"/>
        <v>0</v>
      </c>
      <c r="AF98" s="75">
        <f t="shared" si="28"/>
        <v>0</v>
      </c>
      <c r="AG98" s="75">
        <f t="shared" si="29"/>
        <v>0</v>
      </c>
      <c r="AH98" s="82">
        <f t="shared" si="35"/>
        <v>0</v>
      </c>
      <c r="AI98" s="93">
        <f t="shared" si="30"/>
        <v>0</v>
      </c>
      <c r="AJ98" s="92">
        <f t="shared" si="31"/>
        <v>0</v>
      </c>
      <c r="AK98" s="82">
        <f t="shared" si="32"/>
        <v>0</v>
      </c>
      <c r="AL98" s="82">
        <f t="shared" si="33"/>
        <v>0</v>
      </c>
      <c r="AM98" s="93">
        <f t="shared" si="34"/>
        <v>0</v>
      </c>
      <c r="AN98" s="16"/>
    </row>
    <row r="99" spans="1:40">
      <c r="A99" s="23">
        <f>' BZ_W'!A47</f>
        <v>0</v>
      </c>
      <c r="B99" s="27">
        <f>' BZ_W'!B47</f>
        <v>0</v>
      </c>
      <c r="C99" s="27">
        <f>' BZ_W'!C47</f>
        <v>0</v>
      </c>
      <c r="D99" s="27">
        <f>' BZ_W'!D47</f>
        <v>0</v>
      </c>
      <c r="E99" s="27">
        <f>' BZ_W'!E47</f>
        <v>0</v>
      </c>
      <c r="F99" s="27">
        <f>' BZ_W'!F47</f>
        <v>0</v>
      </c>
      <c r="G99" s="24">
        <f>' BZ_W'!G47</f>
        <v>0</v>
      </c>
      <c r="H99" s="45">
        <f>' BZ_W'!H47</f>
        <v>0</v>
      </c>
      <c r="I99" s="26">
        <f>' BZ_W'!I47</f>
        <v>0</v>
      </c>
      <c r="J99" s="27">
        <f>' BZ_W'!J47</f>
        <v>0</v>
      </c>
      <c r="K99" s="27">
        <f>' BZ_W'!K47</f>
        <v>0</v>
      </c>
      <c r="L99" s="25">
        <f>' BZ_W'!L47</f>
        <v>0</v>
      </c>
      <c r="M99" s="25">
        <f>' BZ_W'!M47</f>
        <v>0</v>
      </c>
      <c r="N99" s="25">
        <f>' BZ_W'!N47</f>
        <v>0</v>
      </c>
      <c r="O99" s="25">
        <f>' BZ_W'!O47</f>
        <v>0</v>
      </c>
      <c r="P99" s="25">
        <f>' BZ_W'!P47</f>
        <v>0</v>
      </c>
      <c r="Q99" s="25">
        <f>' BZ_W'!Q47</f>
        <v>0</v>
      </c>
      <c r="R99" s="27">
        <f>' BZ_W'!R47</f>
        <v>0</v>
      </c>
      <c r="S99" s="25">
        <f>' BZ_W'!S47</f>
        <v>0</v>
      </c>
      <c r="T99" s="25">
        <f>' BZ_W'!T47</f>
        <v>0</v>
      </c>
      <c r="U99" s="36">
        <f>' BZ_W'!U47</f>
        <v>0</v>
      </c>
      <c r="V99" s="37">
        <f>' BZ_W'!V47</f>
        <v>0</v>
      </c>
      <c r="W99" s="70">
        <f t="shared" si="21"/>
        <v>0</v>
      </c>
      <c r="X99" s="71" t="e">
        <f t="shared" si="22"/>
        <v>#DIV/0!</v>
      </c>
      <c r="Y99" s="72" t="e">
        <f t="shared" si="24"/>
        <v>#DIV/0!</v>
      </c>
      <c r="Z99" s="72" t="e">
        <f t="shared" si="25"/>
        <v>#DIV/0!</v>
      </c>
      <c r="AA99" s="72" t="e">
        <f t="shared" si="26"/>
        <v>#DIV/0!</v>
      </c>
      <c r="AB99" s="73">
        <v>96</v>
      </c>
      <c r="AC99" s="74">
        <f t="shared" si="27"/>
        <v>0</v>
      </c>
      <c r="AD99" s="86">
        <f t="shared" si="20"/>
        <v>0</v>
      </c>
      <c r="AE99" s="74">
        <f t="shared" si="23"/>
        <v>0</v>
      </c>
      <c r="AF99" s="75">
        <f t="shared" si="28"/>
        <v>0</v>
      </c>
      <c r="AG99" s="75">
        <f t="shared" si="29"/>
        <v>0</v>
      </c>
      <c r="AH99" s="82">
        <f t="shared" si="35"/>
        <v>0</v>
      </c>
      <c r="AI99" s="93">
        <f t="shared" si="30"/>
        <v>0</v>
      </c>
      <c r="AJ99" s="92">
        <f t="shared" si="31"/>
        <v>0</v>
      </c>
      <c r="AK99" s="82">
        <f t="shared" si="32"/>
        <v>0</v>
      </c>
      <c r="AL99" s="82">
        <f t="shared" si="33"/>
        <v>0</v>
      </c>
      <c r="AM99" s="93">
        <f t="shared" si="34"/>
        <v>0</v>
      </c>
      <c r="AN99" s="16"/>
    </row>
    <row r="100" spans="1:40">
      <c r="A100" s="23">
        <f>' BZ_W'!A48</f>
        <v>0</v>
      </c>
      <c r="B100" s="27">
        <f>' BZ_W'!B48</f>
        <v>0</v>
      </c>
      <c r="C100" s="27">
        <f>' BZ_W'!C48</f>
        <v>0</v>
      </c>
      <c r="D100" s="27">
        <f>' BZ_W'!D48</f>
        <v>0</v>
      </c>
      <c r="E100" s="27">
        <f>' BZ_W'!E48</f>
        <v>0</v>
      </c>
      <c r="F100" s="27">
        <f>' BZ_W'!F48</f>
        <v>0</v>
      </c>
      <c r="G100" s="24">
        <f>' BZ_W'!G48</f>
        <v>0</v>
      </c>
      <c r="H100" s="45">
        <f>' BZ_W'!H48</f>
        <v>0</v>
      </c>
      <c r="I100" s="26">
        <f>' BZ_W'!I48</f>
        <v>0</v>
      </c>
      <c r="J100" s="27">
        <f>' BZ_W'!J48</f>
        <v>0</v>
      </c>
      <c r="K100" s="27">
        <f>' BZ_W'!K48</f>
        <v>0</v>
      </c>
      <c r="L100" s="25">
        <f>' BZ_W'!L48</f>
        <v>0</v>
      </c>
      <c r="M100" s="25">
        <f>' BZ_W'!M48</f>
        <v>0</v>
      </c>
      <c r="N100" s="25">
        <f>' BZ_W'!N48</f>
        <v>0</v>
      </c>
      <c r="O100" s="25">
        <f>' BZ_W'!O48</f>
        <v>0</v>
      </c>
      <c r="P100" s="25">
        <f>' BZ_W'!P48</f>
        <v>0</v>
      </c>
      <c r="Q100" s="25">
        <f>' BZ_W'!Q48</f>
        <v>0</v>
      </c>
      <c r="R100" s="27">
        <f>' BZ_W'!R48</f>
        <v>0</v>
      </c>
      <c r="S100" s="25">
        <f>' BZ_W'!S48</f>
        <v>0</v>
      </c>
      <c r="T100" s="25">
        <f>' BZ_W'!T48</f>
        <v>0</v>
      </c>
      <c r="U100" s="36">
        <f>' BZ_W'!U48</f>
        <v>0</v>
      </c>
      <c r="V100" s="37">
        <f>' BZ_W'!V48</f>
        <v>0</v>
      </c>
      <c r="W100" s="70">
        <f t="shared" si="21"/>
        <v>0</v>
      </c>
      <c r="X100" s="71" t="e">
        <f t="shared" si="22"/>
        <v>#DIV/0!</v>
      </c>
      <c r="Y100" s="72" t="e">
        <f t="shared" si="24"/>
        <v>#DIV/0!</v>
      </c>
      <c r="Z100" s="72" t="e">
        <f t="shared" si="25"/>
        <v>#DIV/0!</v>
      </c>
      <c r="AA100" s="72" t="e">
        <f t="shared" si="26"/>
        <v>#DIV/0!</v>
      </c>
      <c r="AB100" s="73">
        <v>97</v>
      </c>
      <c r="AC100" s="74">
        <f t="shared" si="27"/>
        <v>0</v>
      </c>
      <c r="AD100" s="86">
        <f t="shared" si="20"/>
        <v>0</v>
      </c>
      <c r="AE100" s="74">
        <f t="shared" si="23"/>
        <v>0</v>
      </c>
      <c r="AF100" s="75">
        <f t="shared" si="28"/>
        <v>0</v>
      </c>
      <c r="AG100" s="75">
        <f t="shared" si="29"/>
        <v>0</v>
      </c>
      <c r="AH100" s="82">
        <f t="shared" si="35"/>
        <v>0</v>
      </c>
      <c r="AI100" s="93">
        <f t="shared" si="30"/>
        <v>0</v>
      </c>
      <c r="AJ100" s="92">
        <f t="shared" si="31"/>
        <v>0</v>
      </c>
      <c r="AK100" s="82">
        <f t="shared" si="32"/>
        <v>0</v>
      </c>
      <c r="AL100" s="82">
        <f t="shared" si="33"/>
        <v>0</v>
      </c>
      <c r="AM100" s="93">
        <f t="shared" si="34"/>
        <v>0</v>
      </c>
      <c r="AN100" s="16"/>
    </row>
    <row r="101" spans="1:40">
      <c r="A101" s="23">
        <f>' BZ_W'!A49</f>
        <v>0</v>
      </c>
      <c r="B101" s="27">
        <f>' BZ_W'!B49</f>
        <v>0</v>
      </c>
      <c r="C101" s="27">
        <f>' BZ_W'!C49</f>
        <v>0</v>
      </c>
      <c r="D101" s="27">
        <f>' BZ_W'!D49</f>
        <v>0</v>
      </c>
      <c r="E101" s="27">
        <f>' BZ_W'!E49</f>
        <v>0</v>
      </c>
      <c r="F101" s="27">
        <f>' BZ_W'!F49</f>
        <v>0</v>
      </c>
      <c r="G101" s="24">
        <f>' BZ_W'!G49</f>
        <v>0</v>
      </c>
      <c r="H101" s="45">
        <f>' BZ_W'!H49</f>
        <v>0</v>
      </c>
      <c r="I101" s="26">
        <f>' BZ_W'!I49</f>
        <v>0</v>
      </c>
      <c r="J101" s="27">
        <f>' BZ_W'!J49</f>
        <v>0</v>
      </c>
      <c r="K101" s="27">
        <f>' BZ_W'!K49</f>
        <v>0</v>
      </c>
      <c r="L101" s="25">
        <f>' BZ_W'!L49</f>
        <v>0</v>
      </c>
      <c r="M101" s="25">
        <f>' BZ_W'!M49</f>
        <v>0</v>
      </c>
      <c r="N101" s="25">
        <f>' BZ_W'!N49</f>
        <v>0</v>
      </c>
      <c r="O101" s="25">
        <f>' BZ_W'!O49</f>
        <v>0</v>
      </c>
      <c r="P101" s="25">
        <f>' BZ_W'!P49</f>
        <v>0</v>
      </c>
      <c r="Q101" s="25">
        <f>' BZ_W'!Q49</f>
        <v>0</v>
      </c>
      <c r="R101" s="27">
        <f>' BZ_W'!R49</f>
        <v>0</v>
      </c>
      <c r="S101" s="25">
        <f>' BZ_W'!S49</f>
        <v>0</v>
      </c>
      <c r="T101" s="25">
        <f>' BZ_W'!T49</f>
        <v>0</v>
      </c>
      <c r="U101" s="36">
        <f>' BZ_W'!U49</f>
        <v>0</v>
      </c>
      <c r="V101" s="37">
        <f>' BZ_W'!V49</f>
        <v>0</v>
      </c>
      <c r="W101" s="70">
        <f t="shared" si="21"/>
        <v>0</v>
      </c>
      <c r="X101" s="71" t="e">
        <f t="shared" si="22"/>
        <v>#DIV/0!</v>
      </c>
      <c r="Y101" s="72" t="e">
        <f t="shared" si="24"/>
        <v>#DIV/0!</v>
      </c>
      <c r="Z101" s="72" t="e">
        <f t="shared" si="25"/>
        <v>#DIV/0!</v>
      </c>
      <c r="AA101" s="72" t="e">
        <f t="shared" si="26"/>
        <v>#DIV/0!</v>
      </c>
      <c r="AB101" s="73">
        <v>98</v>
      </c>
      <c r="AC101" s="74">
        <f t="shared" si="27"/>
        <v>0</v>
      </c>
      <c r="AD101" s="86">
        <f t="shared" si="20"/>
        <v>0</v>
      </c>
      <c r="AE101" s="74">
        <f t="shared" si="23"/>
        <v>0</v>
      </c>
      <c r="AF101" s="75">
        <f t="shared" si="28"/>
        <v>0</v>
      </c>
      <c r="AG101" s="75">
        <f t="shared" si="29"/>
        <v>0</v>
      </c>
      <c r="AH101" s="82">
        <f t="shared" si="35"/>
        <v>0</v>
      </c>
      <c r="AI101" s="93">
        <f t="shared" si="30"/>
        <v>0</v>
      </c>
      <c r="AJ101" s="92">
        <f t="shared" si="31"/>
        <v>0</v>
      </c>
      <c r="AK101" s="82">
        <f t="shared" si="32"/>
        <v>0</v>
      </c>
      <c r="AL101" s="82">
        <f t="shared" si="33"/>
        <v>0</v>
      </c>
      <c r="AM101" s="93">
        <f t="shared" si="34"/>
        <v>0</v>
      </c>
      <c r="AN101" s="16"/>
    </row>
    <row r="102" spans="1:40">
      <c r="A102" s="23">
        <f>' BZ_W'!A50</f>
        <v>0</v>
      </c>
      <c r="B102" s="27">
        <f>' BZ_W'!B50</f>
        <v>0</v>
      </c>
      <c r="C102" s="27">
        <f>' BZ_W'!C50</f>
        <v>0</v>
      </c>
      <c r="D102" s="27">
        <f>' BZ_W'!D50</f>
        <v>0</v>
      </c>
      <c r="E102" s="27">
        <f>' BZ_W'!E50</f>
        <v>0</v>
      </c>
      <c r="F102" s="27">
        <f>' BZ_W'!F50</f>
        <v>0</v>
      </c>
      <c r="G102" s="24">
        <f>' BZ_W'!G50</f>
        <v>0</v>
      </c>
      <c r="H102" s="45">
        <f>' BZ_W'!H50</f>
        <v>0</v>
      </c>
      <c r="I102" s="26">
        <f>' BZ_W'!I50</f>
        <v>0</v>
      </c>
      <c r="J102" s="27">
        <f>' BZ_W'!J50</f>
        <v>0</v>
      </c>
      <c r="K102" s="27">
        <f>' BZ_W'!K50</f>
        <v>0</v>
      </c>
      <c r="L102" s="25">
        <f>' BZ_W'!L50</f>
        <v>0</v>
      </c>
      <c r="M102" s="25">
        <f>' BZ_W'!M50</f>
        <v>0</v>
      </c>
      <c r="N102" s="25">
        <f>' BZ_W'!N50</f>
        <v>0</v>
      </c>
      <c r="O102" s="25">
        <f>' BZ_W'!O50</f>
        <v>0</v>
      </c>
      <c r="P102" s="25">
        <f>' BZ_W'!P50</f>
        <v>0</v>
      </c>
      <c r="Q102" s="25">
        <f>' BZ_W'!Q50</f>
        <v>0</v>
      </c>
      <c r="R102" s="27">
        <f>' BZ_W'!R50</f>
        <v>0</v>
      </c>
      <c r="S102" s="25">
        <f>' BZ_W'!S50</f>
        <v>0</v>
      </c>
      <c r="T102" s="25">
        <f>' BZ_W'!T50</f>
        <v>0</v>
      </c>
      <c r="U102" s="36">
        <f>' BZ_W'!U50</f>
        <v>0</v>
      </c>
      <c r="V102" s="37">
        <f>' BZ_W'!V50</f>
        <v>0</v>
      </c>
      <c r="W102" s="70">
        <f t="shared" si="21"/>
        <v>0</v>
      </c>
      <c r="X102" s="71" t="e">
        <f t="shared" si="22"/>
        <v>#DIV/0!</v>
      </c>
      <c r="Y102" s="72" t="e">
        <f t="shared" si="24"/>
        <v>#DIV/0!</v>
      </c>
      <c r="Z102" s="72" t="e">
        <f t="shared" si="25"/>
        <v>#DIV/0!</v>
      </c>
      <c r="AA102" s="72" t="e">
        <f t="shared" si="26"/>
        <v>#DIV/0!</v>
      </c>
      <c r="AB102" s="73">
        <v>99</v>
      </c>
      <c r="AC102" s="74">
        <f t="shared" si="27"/>
        <v>0</v>
      </c>
      <c r="AD102" s="86">
        <f t="shared" si="20"/>
        <v>0</v>
      </c>
      <c r="AE102" s="74">
        <f t="shared" si="23"/>
        <v>0</v>
      </c>
      <c r="AF102" s="75">
        <f t="shared" si="28"/>
        <v>0</v>
      </c>
      <c r="AG102" s="75">
        <f t="shared" si="29"/>
        <v>0</v>
      </c>
      <c r="AH102" s="82">
        <f t="shared" si="35"/>
        <v>0</v>
      </c>
      <c r="AI102" s="93">
        <f t="shared" si="30"/>
        <v>0</v>
      </c>
      <c r="AJ102" s="92">
        <f t="shared" si="31"/>
        <v>0</v>
      </c>
      <c r="AK102" s="82">
        <f t="shared" si="32"/>
        <v>0</v>
      </c>
      <c r="AL102" s="82">
        <f t="shared" si="33"/>
        <v>0</v>
      </c>
      <c r="AM102" s="93">
        <f t="shared" si="34"/>
        <v>0</v>
      </c>
      <c r="AN102" s="16"/>
    </row>
    <row r="103" spans="1:40" ht="15.75" thickBot="1">
      <c r="A103" s="28">
        <f>' BZ_W'!A51</f>
        <v>0</v>
      </c>
      <c r="B103" s="29">
        <f>' BZ_W'!B51</f>
        <v>0</v>
      </c>
      <c r="C103" s="29">
        <f>' BZ_W'!C51</f>
        <v>0</v>
      </c>
      <c r="D103" s="29">
        <f>' BZ_W'!D51</f>
        <v>0</v>
      </c>
      <c r="E103" s="29">
        <f>' BZ_W'!E51</f>
        <v>0</v>
      </c>
      <c r="F103" s="29">
        <f>' BZ_W'!F51</f>
        <v>0</v>
      </c>
      <c r="G103" s="30">
        <f>' BZ_W'!G51</f>
        <v>0</v>
      </c>
      <c r="H103" s="46">
        <f>' BZ_W'!H51</f>
        <v>0</v>
      </c>
      <c r="I103" s="32">
        <f>' BZ_W'!I51</f>
        <v>0</v>
      </c>
      <c r="J103" s="29">
        <f>' BZ_W'!J51</f>
        <v>0</v>
      </c>
      <c r="K103" s="29">
        <f>' BZ_W'!K51</f>
        <v>0</v>
      </c>
      <c r="L103" s="31">
        <f>' BZ_W'!L51</f>
        <v>0</v>
      </c>
      <c r="M103" s="31">
        <f>' BZ_W'!M51</f>
        <v>0</v>
      </c>
      <c r="N103" s="31">
        <f>' BZ_W'!N51</f>
        <v>0</v>
      </c>
      <c r="O103" s="31">
        <f>' BZ_W'!O51</f>
        <v>0</v>
      </c>
      <c r="P103" s="31">
        <f>' BZ_W'!P51</f>
        <v>0</v>
      </c>
      <c r="Q103" s="31">
        <f>' BZ_W'!Q51</f>
        <v>0</v>
      </c>
      <c r="R103" s="29">
        <f>' BZ_W'!R51</f>
        <v>0</v>
      </c>
      <c r="S103" s="31">
        <f>' BZ_W'!S51</f>
        <v>0</v>
      </c>
      <c r="T103" s="31">
        <f>' BZ_W'!T51</f>
        <v>0</v>
      </c>
      <c r="U103" s="38">
        <f>' BZ_W'!U51</f>
        <v>0</v>
      </c>
      <c r="V103" s="39">
        <f>' BZ_W'!V51</f>
        <v>0</v>
      </c>
      <c r="W103" s="76">
        <f t="shared" si="21"/>
        <v>0</v>
      </c>
      <c r="X103" s="77" t="e">
        <f t="shared" si="22"/>
        <v>#DIV/0!</v>
      </c>
      <c r="Y103" s="78" t="e">
        <f t="shared" si="24"/>
        <v>#DIV/0!</v>
      </c>
      <c r="Z103" s="78" t="e">
        <f t="shared" si="25"/>
        <v>#DIV/0!</v>
      </c>
      <c r="AA103" s="78" t="e">
        <f t="shared" si="26"/>
        <v>#DIV/0!</v>
      </c>
      <c r="AB103" s="79">
        <v>100</v>
      </c>
      <c r="AC103" s="80">
        <f t="shared" si="27"/>
        <v>0</v>
      </c>
      <c r="AD103" s="87">
        <f t="shared" si="20"/>
        <v>0</v>
      </c>
      <c r="AE103" s="80">
        <f t="shared" si="23"/>
        <v>0</v>
      </c>
      <c r="AF103" s="81">
        <f t="shared" si="28"/>
        <v>0</v>
      </c>
      <c r="AG103" s="81">
        <f t="shared" si="29"/>
        <v>0</v>
      </c>
      <c r="AH103" s="89">
        <f t="shared" si="35"/>
        <v>0</v>
      </c>
      <c r="AI103" s="94">
        <f t="shared" si="30"/>
        <v>0</v>
      </c>
      <c r="AJ103" s="98">
        <f t="shared" si="31"/>
        <v>0</v>
      </c>
      <c r="AK103" s="89">
        <f t="shared" si="32"/>
        <v>0</v>
      </c>
      <c r="AL103" s="89">
        <f t="shared" si="33"/>
        <v>0</v>
      </c>
      <c r="AM103" s="94">
        <f t="shared" si="34"/>
        <v>0</v>
      </c>
      <c r="AN103" s="16"/>
    </row>
  </sheetData>
  <sheetProtection selectLockedCells="1"/>
  <autoFilter ref="A3:AB3">
    <sortState ref="A4:AB103">
      <sortCondition ref="AB3"/>
    </sortState>
  </autoFilter>
  <conditionalFormatting sqref="AD4:AD53">
    <cfRule type="expression" dxfId="17" priority="62">
      <formula>AND($AB$1&lt;#REF!,#REF!&lt;#REF!)</formula>
    </cfRule>
    <cfRule type="expression" dxfId="16" priority="80">
      <formula>#REF!&gt;#REF!</formula>
    </cfRule>
  </conditionalFormatting>
  <conditionalFormatting sqref="AD54:AD103">
    <cfRule type="expression" dxfId="15" priority="61">
      <formula>AND($AB$2&lt;#REF!,#REF!&lt;#REF!)</formula>
    </cfRule>
    <cfRule type="expression" dxfId="14" priority="77">
      <formula>#REF!&gt;#REF!</formula>
    </cfRule>
  </conditionalFormatting>
  <conditionalFormatting sqref="I1">
    <cfRule type="expression" dxfId="13" priority="72">
      <formula>#REF!&lt;0.01</formula>
    </cfRule>
  </conditionalFormatting>
  <conditionalFormatting sqref="AC1">
    <cfRule type="expression" dxfId="12" priority="70">
      <formula>#REF!&lt;0.01</formula>
    </cfRule>
  </conditionalFormatting>
  <conditionalFormatting sqref="AC1 I1">
    <cfRule type="expression" dxfId="11" priority="71">
      <formula>#REF!&gt;#REF!</formula>
    </cfRule>
  </conditionalFormatting>
  <conditionalFormatting sqref="AE4:AE103">
    <cfRule type="expression" dxfId="10" priority="63">
      <formula>$AC4&gt;$AE4</formula>
    </cfRule>
    <cfRule type="expression" dxfId="9" priority="65">
      <formula>$AC4&lt;$AE4</formula>
    </cfRule>
  </conditionalFormatting>
  <conditionalFormatting sqref="AO6">
    <cfRule type="expression" dxfId="8" priority="57">
      <formula>AND($AB$2&lt;#REF!,#REF!&lt;#REF!)</formula>
    </cfRule>
    <cfRule type="expression" dxfId="7" priority="59">
      <formula>#REF!&gt;#REF!</formula>
    </cfRule>
  </conditionalFormatting>
  <conditionalFormatting sqref="AD5:AD103 AO6">
    <cfRule type="expression" dxfId="6" priority="913">
      <formula>($AD$1*$AC5)&lt;$AE5</formula>
    </cfRule>
    <cfRule type="expression" dxfId="5" priority="914">
      <formula>$I5&lt;0.001</formula>
    </cfRule>
  </conditionalFormatting>
  <conditionalFormatting sqref="AD4">
    <cfRule type="expression" dxfId="4" priority="917">
      <formula>($AD$1*$AC4)&lt;$AE4</formula>
    </cfRule>
    <cfRule type="expression" dxfId="3" priority="918">
      <formula>$G4&lt;0.001</formula>
    </cfRule>
  </conditionalFormatting>
  <conditionalFormatting sqref="AA4:AA103">
    <cfRule type="cellIs" dxfId="2" priority="6" operator="equal">
      <formula>0</formula>
    </cfRule>
    <cfRule type="cellIs" dxfId="1" priority="7" operator="lessThan">
      <formula>0</formula>
    </cfRule>
    <cfRule type="cellIs" dxfId="0" priority="8" operator="greaterThan">
      <formula>0</formula>
    </cfRule>
  </conditionalFormatting>
  <conditionalFormatting sqref="Y4:Z103">
    <cfRule type="colorScale" priority="1">
      <colorScale>
        <cfvo type="percent" val="0"/>
        <cfvo type="percent" val="100"/>
        <color theme="0"/>
        <color theme="8" tint="-0.249977111117893"/>
      </colorScale>
    </cfRule>
    <cfRule type="colorScale" priority="4">
      <colorScale>
        <cfvo type="min"/>
        <cfvo type="max"/>
        <color rgb="FFFCFCFF"/>
        <color rgb="FF63BE7B"/>
      </colorScale>
    </cfRule>
  </conditionalFormatting>
  <pageMargins left="0.25" right="0.25" top="0.75" bottom="0.75" header="0.3" footer="0.3"/>
  <pageSetup paperSize="9" scale="1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4" r:id="rId4" name="Button 30">
              <controlPr defaultSize="0" print="0" autoFill="0" autoPict="0" macro="[0]!Print2">
                <anchor moveWithCells="1" sizeWithCells="1">
                  <from>
                    <xdr:col>36</xdr:col>
                    <xdr:colOff>28575</xdr:colOff>
                    <xdr:row>0</xdr:row>
                    <xdr:rowOff>38100</xdr:rowOff>
                  </from>
                  <to>
                    <xdr:col>37</xdr:col>
                    <xdr:colOff>723900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V51"/>
  <sheetViews>
    <sheetView workbookViewId="0">
      <selection sqref="A1:XFD1048576"/>
    </sheetView>
  </sheetViews>
  <sheetFormatPr defaultRowHeight="15"/>
  <cols>
    <col min="1" max="1" width="10.5703125" bestFit="1" customWidth="1"/>
    <col min="5" max="5" width="13.85546875" bestFit="1" customWidth="1"/>
    <col min="6" max="6" width="13.85546875" customWidth="1"/>
    <col min="7" max="7" width="6.5703125" bestFit="1" customWidth="1"/>
    <col min="8" max="8" width="7.5703125" bestFit="1" customWidth="1"/>
    <col min="10" max="10" width="11.140625" bestFit="1" customWidth="1"/>
    <col min="11" max="11" width="12.7109375" bestFit="1" customWidth="1"/>
    <col min="12" max="14" width="9.28515625" bestFit="1" customWidth="1"/>
    <col min="15" max="15" width="7.5703125" bestFit="1" customWidth="1"/>
    <col min="16" max="17" width="9.28515625" bestFit="1" customWidth="1"/>
    <col min="18" max="18" width="16.42578125" bestFit="1" customWidth="1"/>
    <col min="22" max="22" width="10.7109375" bestFit="1" customWidth="1"/>
  </cols>
  <sheetData>
    <row r="2" spans="2:22">
      <c r="B2" s="1"/>
      <c r="C2" s="1"/>
      <c r="D2" s="1"/>
      <c r="E2" s="2"/>
      <c r="F2" s="2"/>
      <c r="G2" s="2"/>
      <c r="H2" s="2"/>
      <c r="I2" s="34"/>
      <c r="J2" s="1"/>
      <c r="K2" s="1"/>
      <c r="L2" s="35"/>
      <c r="M2" s="35"/>
      <c r="N2" s="35"/>
      <c r="O2" s="35"/>
      <c r="P2" s="35"/>
      <c r="Q2" s="35"/>
      <c r="R2" s="1"/>
      <c r="S2" s="2"/>
      <c r="T2" s="2"/>
      <c r="U2" s="3"/>
      <c r="V2" s="4"/>
    </row>
    <row r="3" spans="2:22">
      <c r="B3" s="1"/>
      <c r="C3" s="1"/>
      <c r="D3" s="1"/>
      <c r="E3" s="2"/>
      <c r="F3" s="2"/>
      <c r="G3" s="2"/>
      <c r="H3" s="2"/>
      <c r="I3" s="34"/>
      <c r="J3" s="1"/>
      <c r="K3" s="1"/>
      <c r="L3" s="35"/>
      <c r="M3" s="35"/>
      <c r="N3" s="35"/>
      <c r="O3" s="35"/>
      <c r="P3" s="35"/>
      <c r="Q3" s="35"/>
      <c r="R3" s="1"/>
      <c r="S3" s="2"/>
      <c r="T3" s="2"/>
      <c r="U3" s="3"/>
      <c r="V3" s="4"/>
    </row>
    <row r="4" spans="2:22">
      <c r="B4" s="1"/>
      <c r="C4" s="1"/>
      <c r="D4" s="1"/>
      <c r="E4" s="2"/>
      <c r="F4" s="2"/>
      <c r="G4" s="2"/>
      <c r="H4" s="2"/>
      <c r="I4" s="34"/>
      <c r="J4" s="1"/>
      <c r="K4" s="1"/>
      <c r="L4" s="35"/>
      <c r="M4" s="35"/>
      <c r="N4" s="35"/>
      <c r="O4" s="35"/>
      <c r="P4" s="35"/>
      <c r="Q4" s="35"/>
      <c r="R4" s="1"/>
      <c r="S4" s="2"/>
      <c r="T4" s="2"/>
      <c r="U4" s="3"/>
      <c r="V4" s="4"/>
    </row>
    <row r="5" spans="2:22">
      <c r="B5" s="1"/>
      <c r="C5" s="1"/>
      <c r="D5" s="1"/>
      <c r="E5" s="2"/>
      <c r="F5" s="2"/>
      <c r="G5" s="2"/>
      <c r="H5" s="2"/>
      <c r="I5" s="34"/>
      <c r="J5" s="1"/>
      <c r="K5" s="1"/>
      <c r="L5" s="35"/>
      <c r="M5" s="35"/>
      <c r="N5" s="35"/>
      <c r="O5" s="35"/>
      <c r="P5" s="35"/>
      <c r="Q5" s="35"/>
      <c r="R5" s="1"/>
      <c r="S5" s="2"/>
      <c r="T5" s="2"/>
      <c r="U5" s="3"/>
      <c r="V5" s="4"/>
    </row>
    <row r="6" spans="2:22">
      <c r="B6" s="1"/>
      <c r="C6" s="1"/>
      <c r="D6" s="1"/>
      <c r="E6" s="2"/>
      <c r="F6" s="2"/>
      <c r="G6" s="2"/>
      <c r="H6" s="2"/>
      <c r="I6" s="34"/>
      <c r="J6" s="1"/>
      <c r="K6" s="1"/>
      <c r="L6" s="35"/>
      <c r="M6" s="35"/>
      <c r="N6" s="35"/>
      <c r="O6" s="35"/>
      <c r="P6" s="35"/>
      <c r="Q6" s="35"/>
      <c r="R6" s="1"/>
      <c r="S6" s="2"/>
      <c r="T6" s="2"/>
      <c r="U6" s="3"/>
      <c r="V6" s="4"/>
    </row>
    <row r="7" spans="2:22">
      <c r="B7" s="1"/>
      <c r="C7" s="1"/>
      <c r="D7" s="1"/>
      <c r="E7" s="2"/>
      <c r="F7" s="2"/>
      <c r="G7" s="2"/>
      <c r="H7" s="2"/>
      <c r="I7" s="34"/>
      <c r="J7" s="1"/>
      <c r="K7" s="1"/>
      <c r="L7" s="35"/>
      <c r="M7" s="35"/>
      <c r="N7" s="35"/>
      <c r="O7" s="35"/>
      <c r="P7" s="35"/>
      <c r="Q7" s="35"/>
      <c r="R7" s="1"/>
      <c r="S7" s="2"/>
      <c r="T7" s="2"/>
      <c r="U7" s="3"/>
      <c r="V7" s="4"/>
    </row>
    <row r="8" spans="2:22">
      <c r="B8" s="1"/>
      <c r="C8" s="1"/>
      <c r="D8" s="1"/>
      <c r="E8" s="2"/>
      <c r="F8" s="2"/>
      <c r="G8" s="2"/>
      <c r="H8" s="2"/>
      <c r="I8" s="34"/>
      <c r="J8" s="1"/>
      <c r="K8" s="1"/>
      <c r="L8" s="35"/>
      <c r="M8" s="35"/>
      <c r="N8" s="35"/>
      <c r="O8" s="35"/>
      <c r="P8" s="35"/>
      <c r="Q8" s="35"/>
      <c r="R8" s="1"/>
      <c r="S8" s="2"/>
      <c r="T8" s="2"/>
      <c r="U8" s="3"/>
      <c r="V8" s="4"/>
    </row>
    <row r="9" spans="2:22">
      <c r="B9" s="1"/>
      <c r="C9" s="1"/>
      <c r="D9" s="1"/>
      <c r="E9" s="2"/>
      <c r="F9" s="2"/>
      <c r="G9" s="2"/>
      <c r="H9" s="2"/>
      <c r="I9" s="34"/>
      <c r="J9" s="1"/>
      <c r="K9" s="1"/>
      <c r="L9" s="35"/>
      <c r="M9" s="35"/>
      <c r="N9" s="35"/>
      <c r="O9" s="35"/>
      <c r="P9" s="35"/>
      <c r="Q9" s="35"/>
      <c r="R9" s="1"/>
      <c r="S9" s="2"/>
      <c r="T9" s="2"/>
      <c r="U9" s="3"/>
      <c r="V9" s="4"/>
    </row>
    <row r="10" spans="2:22">
      <c r="B10" s="1"/>
      <c r="C10" s="1"/>
      <c r="D10" s="1"/>
      <c r="E10" s="2"/>
      <c r="F10" s="2"/>
      <c r="G10" s="2"/>
      <c r="H10" s="2"/>
      <c r="I10" s="34"/>
      <c r="J10" s="1"/>
      <c r="K10" s="1"/>
      <c r="L10" s="35"/>
      <c r="M10" s="35"/>
      <c r="N10" s="35"/>
      <c r="O10" s="35"/>
      <c r="P10" s="35"/>
      <c r="Q10" s="35"/>
      <c r="R10" s="1"/>
      <c r="S10" s="2"/>
      <c r="T10" s="2"/>
      <c r="U10" s="3"/>
      <c r="V10" s="4"/>
    </row>
    <row r="11" spans="2:22">
      <c r="B11" s="1"/>
      <c r="C11" s="1"/>
      <c r="D11" s="1"/>
      <c r="E11" s="2"/>
      <c r="F11" s="2"/>
      <c r="G11" s="2"/>
      <c r="H11" s="2"/>
      <c r="I11" s="34"/>
      <c r="J11" s="1"/>
      <c r="K11" s="1"/>
      <c r="L11" s="35"/>
      <c r="M11" s="35"/>
      <c r="N11" s="35"/>
      <c r="O11" s="35"/>
      <c r="P11" s="35"/>
      <c r="Q11" s="35"/>
      <c r="R11" s="1"/>
      <c r="S11" s="2"/>
      <c r="T11" s="2"/>
      <c r="U11" s="3"/>
      <c r="V11" s="4"/>
    </row>
    <row r="12" spans="2:22">
      <c r="B12" s="1"/>
      <c r="C12" s="1"/>
      <c r="D12" s="1"/>
      <c r="E12" s="2"/>
      <c r="F12" s="2"/>
      <c r="G12" s="2"/>
      <c r="H12" s="2"/>
      <c r="I12" s="34"/>
      <c r="J12" s="1"/>
      <c r="K12" s="1"/>
      <c r="L12" s="35"/>
      <c r="M12" s="35"/>
      <c r="N12" s="35"/>
      <c r="O12" s="35"/>
      <c r="P12" s="35"/>
      <c r="Q12" s="35"/>
      <c r="R12" s="1"/>
      <c r="S12" s="2"/>
      <c r="T12" s="2"/>
      <c r="U12" s="3"/>
      <c r="V12" s="4"/>
    </row>
    <row r="13" spans="2:22">
      <c r="B13" s="1"/>
      <c r="C13" s="1"/>
      <c r="D13" s="1"/>
      <c r="E13" s="2"/>
      <c r="F13" s="2"/>
      <c r="G13" s="2"/>
      <c r="H13" s="2"/>
      <c r="I13" s="34"/>
      <c r="J13" s="1"/>
      <c r="K13" s="1"/>
      <c r="L13" s="35"/>
      <c r="M13" s="35"/>
      <c r="N13" s="35"/>
      <c r="O13" s="35"/>
      <c r="P13" s="35"/>
      <c r="Q13" s="35"/>
      <c r="R13" s="1"/>
      <c r="S13" s="2"/>
      <c r="T13" s="2"/>
      <c r="U13" s="3"/>
      <c r="V13" s="4"/>
    </row>
    <row r="14" spans="2:22">
      <c r="B14" s="1"/>
      <c r="C14" s="1"/>
      <c r="D14" s="1"/>
      <c r="E14" s="2"/>
      <c r="F14" s="2"/>
      <c r="G14" s="2"/>
      <c r="H14" s="2"/>
      <c r="I14" s="34"/>
      <c r="J14" s="1"/>
      <c r="K14" s="1"/>
      <c r="L14" s="35"/>
      <c r="M14" s="35"/>
      <c r="N14" s="35"/>
      <c r="O14" s="35"/>
      <c r="P14" s="35"/>
      <c r="Q14" s="35"/>
      <c r="R14" s="1"/>
      <c r="S14" s="2"/>
      <c r="T14" s="2"/>
      <c r="U14" s="3"/>
      <c r="V14" s="4"/>
    </row>
    <row r="15" spans="2:22">
      <c r="B15" s="1"/>
      <c r="C15" s="1"/>
      <c r="D15" s="1"/>
      <c r="E15" s="2"/>
      <c r="F15" s="2"/>
      <c r="G15" s="2"/>
      <c r="H15" s="2"/>
      <c r="I15" s="34"/>
      <c r="J15" s="1"/>
      <c r="K15" s="1"/>
      <c r="L15" s="35"/>
      <c r="M15" s="35"/>
      <c r="N15" s="35"/>
      <c r="O15" s="35"/>
      <c r="P15" s="35"/>
      <c r="Q15" s="35"/>
      <c r="R15" s="1"/>
      <c r="S15" s="2"/>
      <c r="T15" s="2"/>
      <c r="U15" s="3"/>
      <c r="V15" s="4"/>
    </row>
    <row r="16" spans="2:22">
      <c r="B16" s="1"/>
      <c r="C16" s="1"/>
      <c r="D16" s="1"/>
      <c r="E16" s="2"/>
      <c r="F16" s="2"/>
      <c r="G16" s="2"/>
      <c r="H16" s="2"/>
      <c r="I16" s="34"/>
      <c r="J16" s="1"/>
      <c r="K16" s="1"/>
      <c r="L16" s="35"/>
      <c r="M16" s="35"/>
      <c r="N16" s="35"/>
      <c r="O16" s="35"/>
      <c r="P16" s="35"/>
      <c r="Q16" s="35"/>
      <c r="R16" s="1"/>
      <c r="S16" s="2"/>
      <c r="T16" s="2"/>
      <c r="U16" s="3"/>
      <c r="V16" s="4"/>
    </row>
    <row r="17" spans="2:22">
      <c r="B17" s="1"/>
      <c r="C17" s="1"/>
      <c r="D17" s="1"/>
      <c r="E17" s="2"/>
      <c r="F17" s="2"/>
      <c r="G17" s="2"/>
      <c r="H17" s="2"/>
      <c r="I17" s="34"/>
      <c r="J17" s="1"/>
      <c r="K17" s="1"/>
      <c r="L17" s="35"/>
      <c r="M17" s="35"/>
      <c r="N17" s="35"/>
      <c r="O17" s="35"/>
      <c r="P17" s="35"/>
      <c r="Q17" s="35"/>
      <c r="R17" s="1"/>
      <c r="S17" s="2"/>
      <c r="T17" s="2"/>
      <c r="U17" s="3"/>
      <c r="V17" s="4"/>
    </row>
    <row r="18" spans="2:22">
      <c r="B18" s="1"/>
      <c r="C18" s="1"/>
      <c r="D18" s="1"/>
      <c r="E18" s="2"/>
      <c r="F18" s="2"/>
      <c r="G18" s="2"/>
      <c r="H18" s="2"/>
      <c r="I18" s="34"/>
      <c r="J18" s="1"/>
      <c r="K18" s="1"/>
      <c r="L18" s="35"/>
      <c r="M18" s="35"/>
      <c r="N18" s="35"/>
      <c r="O18" s="35"/>
      <c r="P18" s="35"/>
      <c r="Q18" s="35"/>
      <c r="R18" s="1"/>
      <c r="S18" s="2"/>
      <c r="T18" s="2"/>
      <c r="U18" s="3"/>
      <c r="V18" s="4"/>
    </row>
    <row r="19" spans="2:22">
      <c r="B19" s="1"/>
      <c r="C19" s="1"/>
      <c r="D19" s="1"/>
      <c r="E19" s="2"/>
      <c r="F19" s="2"/>
      <c r="G19" s="2"/>
      <c r="H19" s="2"/>
      <c r="I19" s="34"/>
      <c r="J19" s="1"/>
      <c r="K19" s="1"/>
      <c r="L19" s="35"/>
      <c r="M19" s="35"/>
      <c r="N19" s="35"/>
      <c r="O19" s="35"/>
      <c r="P19" s="35"/>
      <c r="Q19" s="35"/>
      <c r="R19" s="1"/>
      <c r="S19" s="2"/>
      <c r="T19" s="2"/>
      <c r="U19" s="3"/>
      <c r="V19" s="4"/>
    </row>
    <row r="20" spans="2:22">
      <c r="B20" s="1"/>
      <c r="C20" s="1"/>
      <c r="D20" s="1"/>
      <c r="E20" s="2"/>
      <c r="F20" s="2"/>
      <c r="G20" s="2"/>
      <c r="H20" s="2"/>
      <c r="I20" s="34"/>
      <c r="J20" s="1"/>
      <c r="K20" s="1"/>
      <c r="L20" s="35"/>
      <c r="M20" s="35"/>
      <c r="N20" s="35"/>
      <c r="O20" s="35"/>
      <c r="P20" s="35"/>
      <c r="Q20" s="35"/>
      <c r="R20" s="1"/>
      <c r="S20" s="2"/>
      <c r="T20" s="2"/>
      <c r="U20" s="3"/>
      <c r="V20" s="4"/>
    </row>
    <row r="21" spans="2:22">
      <c r="B21" s="1"/>
      <c r="C21" s="1"/>
      <c r="D21" s="1"/>
      <c r="E21" s="2"/>
      <c r="F21" s="2"/>
      <c r="G21" s="2"/>
      <c r="H21" s="2"/>
      <c r="I21" s="34"/>
      <c r="J21" s="1"/>
      <c r="K21" s="1"/>
      <c r="L21" s="35"/>
      <c r="M21" s="35"/>
      <c r="N21" s="35"/>
      <c r="O21" s="35"/>
      <c r="P21" s="35"/>
      <c r="Q21" s="35"/>
      <c r="R21" s="1"/>
      <c r="S21" s="2"/>
      <c r="T21" s="2"/>
      <c r="U21" s="3"/>
      <c r="V21" s="4"/>
    </row>
    <row r="22" spans="2:22">
      <c r="B22" s="1"/>
      <c r="C22" s="1"/>
      <c r="D22" s="1"/>
      <c r="E22" s="2"/>
      <c r="F22" s="2"/>
      <c r="G22" s="2"/>
      <c r="H22" s="2"/>
      <c r="I22" s="34"/>
      <c r="J22" s="1"/>
      <c r="K22" s="1"/>
      <c r="L22" s="35"/>
      <c r="M22" s="35"/>
      <c r="N22" s="35"/>
      <c r="O22" s="35"/>
      <c r="P22" s="35"/>
      <c r="Q22" s="35"/>
      <c r="R22" s="1"/>
      <c r="S22" s="2"/>
      <c r="T22" s="2"/>
      <c r="U22" s="3"/>
      <c r="V22" s="4"/>
    </row>
    <row r="23" spans="2:22">
      <c r="B23" s="1"/>
      <c r="C23" s="1"/>
      <c r="D23" s="1"/>
      <c r="E23" s="2"/>
      <c r="F23" s="2"/>
      <c r="G23" s="2"/>
      <c r="H23" s="2"/>
      <c r="I23" s="34"/>
      <c r="J23" s="1"/>
      <c r="K23" s="1"/>
      <c r="L23" s="35"/>
      <c r="M23" s="35"/>
      <c r="N23" s="35"/>
      <c r="O23" s="35"/>
      <c r="P23" s="35"/>
      <c r="Q23" s="35"/>
      <c r="R23" s="1"/>
      <c r="S23" s="2"/>
      <c r="T23" s="2"/>
      <c r="U23" s="3"/>
      <c r="V23" s="4"/>
    </row>
    <row r="24" spans="2:22">
      <c r="B24" s="1"/>
      <c r="C24" s="1"/>
      <c r="D24" s="1"/>
      <c r="E24" s="2"/>
      <c r="F24" s="2"/>
      <c r="G24" s="2"/>
      <c r="H24" s="2"/>
      <c r="I24" s="34"/>
      <c r="J24" s="1"/>
      <c r="K24" s="1"/>
      <c r="L24" s="35"/>
      <c r="M24" s="35"/>
      <c r="N24" s="35"/>
      <c r="O24" s="35"/>
      <c r="P24" s="35"/>
      <c r="Q24" s="35"/>
      <c r="R24" s="1"/>
      <c r="S24" s="2"/>
      <c r="T24" s="2"/>
      <c r="U24" s="3"/>
      <c r="V24" s="4"/>
    </row>
    <row r="25" spans="2:22">
      <c r="B25" s="1"/>
      <c r="C25" s="1"/>
      <c r="D25" s="1"/>
      <c r="E25" s="2"/>
      <c r="F25" s="2"/>
      <c r="G25" s="2"/>
      <c r="H25" s="2"/>
      <c r="I25" s="34"/>
      <c r="J25" s="1"/>
      <c r="K25" s="1"/>
      <c r="L25" s="35"/>
      <c r="M25" s="35"/>
      <c r="N25" s="35"/>
      <c r="O25" s="35"/>
      <c r="P25" s="35"/>
      <c r="Q25" s="35"/>
      <c r="R25" s="1"/>
      <c r="S25" s="2"/>
      <c r="T25" s="2"/>
      <c r="U25" s="3"/>
      <c r="V25" s="4"/>
    </row>
    <row r="26" spans="2:22">
      <c r="B26" s="1"/>
      <c r="C26" s="1"/>
      <c r="D26" s="1"/>
      <c r="E26" s="2"/>
      <c r="F26" s="2"/>
      <c r="G26" s="2"/>
      <c r="H26" s="2"/>
      <c r="I26" s="34"/>
      <c r="J26" s="1"/>
      <c r="K26" s="1"/>
      <c r="L26" s="35"/>
      <c r="M26" s="35"/>
      <c r="N26" s="35"/>
      <c r="O26" s="35"/>
      <c r="P26" s="35"/>
      <c r="Q26" s="35"/>
      <c r="R26" s="1"/>
      <c r="S26" s="2"/>
      <c r="T26" s="2"/>
      <c r="U26" s="3"/>
      <c r="V26" s="4"/>
    </row>
    <row r="27" spans="2:22">
      <c r="B27" s="1"/>
      <c r="C27" s="1"/>
      <c r="D27" s="1"/>
      <c r="E27" s="2"/>
      <c r="F27" s="2"/>
      <c r="G27" s="2"/>
      <c r="H27" s="2"/>
      <c r="I27" s="34"/>
      <c r="J27" s="1"/>
      <c r="K27" s="1"/>
      <c r="L27" s="35"/>
      <c r="M27" s="35"/>
      <c r="N27" s="35"/>
      <c r="O27" s="35"/>
      <c r="P27" s="35"/>
      <c r="Q27" s="35"/>
      <c r="R27" s="1"/>
      <c r="S27" s="2"/>
      <c r="T27" s="2"/>
      <c r="U27" s="3"/>
      <c r="V27" s="4"/>
    </row>
    <row r="28" spans="2:22">
      <c r="B28" s="1"/>
      <c r="C28" s="1"/>
      <c r="D28" s="1"/>
      <c r="E28" s="2"/>
      <c r="F28" s="2"/>
      <c r="G28" s="2"/>
      <c r="H28" s="2"/>
      <c r="I28" s="34"/>
      <c r="J28" s="1"/>
      <c r="K28" s="1"/>
      <c r="L28" s="35"/>
      <c r="M28" s="35"/>
      <c r="N28" s="35"/>
      <c r="O28" s="35"/>
      <c r="P28" s="35"/>
      <c r="Q28" s="35"/>
      <c r="R28" s="1"/>
      <c r="S28" s="2"/>
      <c r="T28" s="2"/>
      <c r="U28" s="3"/>
      <c r="V28" s="4"/>
    </row>
    <row r="29" spans="2:22">
      <c r="B29" s="1"/>
      <c r="C29" s="1"/>
      <c r="D29" s="1"/>
      <c r="E29" s="2"/>
      <c r="F29" s="2"/>
      <c r="G29" s="2"/>
      <c r="H29" s="2"/>
      <c r="I29" s="34"/>
      <c r="J29" s="1"/>
      <c r="K29" s="1"/>
      <c r="L29" s="35"/>
      <c r="M29" s="35"/>
      <c r="N29" s="35"/>
      <c r="O29" s="35"/>
      <c r="P29" s="35"/>
      <c r="Q29" s="35"/>
      <c r="R29" s="1"/>
      <c r="S29" s="2"/>
      <c r="T29" s="2"/>
      <c r="U29" s="3"/>
      <c r="V29" s="4"/>
    </row>
    <row r="30" spans="2:22">
      <c r="B30" s="1"/>
      <c r="C30" s="1"/>
      <c r="D30" s="1"/>
      <c r="E30" s="2"/>
      <c r="F30" s="2"/>
      <c r="G30" s="2"/>
      <c r="H30" s="2"/>
      <c r="I30" s="34"/>
      <c r="J30" s="1"/>
      <c r="K30" s="1"/>
      <c r="L30" s="35"/>
      <c r="M30" s="35"/>
      <c r="N30" s="35"/>
      <c r="O30" s="35"/>
      <c r="P30" s="35"/>
      <c r="Q30" s="35"/>
      <c r="R30" s="1"/>
      <c r="S30" s="2"/>
      <c r="T30" s="2"/>
      <c r="U30" s="3"/>
      <c r="V30" s="4"/>
    </row>
    <row r="31" spans="2:22">
      <c r="B31" s="1"/>
      <c r="C31" s="1"/>
      <c r="D31" s="1"/>
      <c r="E31" s="2"/>
      <c r="F31" s="2"/>
      <c r="G31" s="2"/>
      <c r="H31" s="2"/>
      <c r="I31" s="34"/>
      <c r="J31" s="1"/>
      <c r="K31" s="1"/>
      <c r="L31" s="35"/>
      <c r="M31" s="35"/>
      <c r="N31" s="35"/>
      <c r="O31" s="35"/>
      <c r="P31" s="35"/>
      <c r="Q31" s="35"/>
      <c r="R31" s="1"/>
      <c r="S31" s="2"/>
      <c r="T31" s="2"/>
      <c r="U31" s="3"/>
      <c r="V31" s="4"/>
    </row>
    <row r="32" spans="2:22">
      <c r="B32" s="1"/>
      <c r="C32" s="1"/>
      <c r="D32" s="1"/>
      <c r="E32" s="2"/>
      <c r="F32" s="2"/>
      <c r="G32" s="2"/>
      <c r="H32" s="2"/>
      <c r="I32" s="34"/>
      <c r="J32" s="1"/>
      <c r="K32" s="1"/>
      <c r="L32" s="35"/>
      <c r="M32" s="35"/>
      <c r="N32" s="35"/>
      <c r="O32" s="35"/>
      <c r="P32" s="35"/>
      <c r="Q32" s="35"/>
      <c r="R32" s="1"/>
      <c r="S32" s="2"/>
      <c r="T32" s="2"/>
      <c r="U32" s="3"/>
      <c r="V32" s="4"/>
    </row>
    <row r="33" spans="2:22">
      <c r="B33" s="1"/>
      <c r="C33" s="1"/>
      <c r="D33" s="1"/>
      <c r="E33" s="2"/>
      <c r="F33" s="2"/>
      <c r="G33" s="2"/>
      <c r="H33" s="2"/>
      <c r="I33" s="34"/>
      <c r="J33" s="1"/>
      <c r="K33" s="1"/>
      <c r="L33" s="35"/>
      <c r="M33" s="35"/>
      <c r="N33" s="35"/>
      <c r="O33" s="35"/>
      <c r="P33" s="35"/>
      <c r="Q33" s="35"/>
      <c r="R33" s="1"/>
      <c r="S33" s="2"/>
      <c r="T33" s="2"/>
      <c r="U33" s="3"/>
      <c r="V33" s="4"/>
    </row>
    <row r="34" spans="2:22">
      <c r="B34" s="1"/>
      <c r="C34" s="1"/>
      <c r="D34" s="1"/>
      <c r="E34" s="2"/>
      <c r="F34" s="2"/>
      <c r="G34" s="2"/>
      <c r="H34" s="2"/>
      <c r="I34" s="34"/>
      <c r="J34" s="1"/>
      <c r="K34" s="1"/>
      <c r="L34" s="35"/>
      <c r="M34" s="35"/>
      <c r="N34" s="35"/>
      <c r="O34" s="35"/>
      <c r="P34" s="35"/>
      <c r="Q34" s="35"/>
      <c r="R34" s="1"/>
      <c r="S34" s="2"/>
      <c r="T34" s="2"/>
      <c r="U34" s="3"/>
      <c r="V34" s="4"/>
    </row>
    <row r="35" spans="2:22">
      <c r="B35" s="1"/>
      <c r="C35" s="1"/>
      <c r="D35" s="1"/>
      <c r="E35" s="2"/>
      <c r="F35" s="2"/>
      <c r="G35" s="2"/>
      <c r="H35" s="2"/>
      <c r="I35" s="34"/>
      <c r="J35" s="1"/>
      <c r="K35" s="1"/>
      <c r="L35" s="35"/>
      <c r="M35" s="35"/>
      <c r="N35" s="35"/>
      <c r="O35" s="35"/>
      <c r="P35" s="35"/>
      <c r="Q35" s="35"/>
      <c r="R35" s="1"/>
      <c r="S35" s="2"/>
      <c r="T35" s="2"/>
      <c r="U35" s="3"/>
      <c r="V35" s="4"/>
    </row>
    <row r="36" spans="2:22">
      <c r="B36" s="1"/>
      <c r="C36" s="1"/>
      <c r="D36" s="1"/>
      <c r="E36" s="2"/>
      <c r="F36" s="2"/>
      <c r="G36" s="2"/>
      <c r="H36" s="2"/>
      <c r="I36" s="34"/>
      <c r="J36" s="1"/>
      <c r="K36" s="1"/>
      <c r="L36" s="35"/>
      <c r="M36" s="35"/>
      <c r="N36" s="35"/>
      <c r="O36" s="35"/>
      <c r="P36" s="35"/>
      <c r="Q36" s="35"/>
      <c r="R36" s="1"/>
      <c r="S36" s="2"/>
      <c r="T36" s="2"/>
      <c r="U36" s="3"/>
      <c r="V36" s="4"/>
    </row>
    <row r="37" spans="2:22">
      <c r="B37" s="1"/>
      <c r="C37" s="1"/>
      <c r="D37" s="1"/>
      <c r="E37" s="2"/>
      <c r="F37" s="2"/>
      <c r="G37" s="2"/>
      <c r="H37" s="2"/>
      <c r="I37" s="34"/>
      <c r="J37" s="1"/>
      <c r="K37" s="1"/>
      <c r="L37" s="35"/>
      <c r="M37" s="35"/>
      <c r="N37" s="35"/>
      <c r="O37" s="35"/>
      <c r="P37" s="35"/>
      <c r="Q37" s="35"/>
      <c r="R37" s="1"/>
      <c r="S37" s="2"/>
      <c r="T37" s="2"/>
      <c r="U37" s="3"/>
      <c r="V37" s="4"/>
    </row>
    <row r="38" spans="2:22">
      <c r="B38" s="1"/>
      <c r="C38" s="1"/>
      <c r="D38" s="1"/>
      <c r="E38" s="2"/>
      <c r="F38" s="2"/>
      <c r="G38" s="2"/>
      <c r="H38" s="2"/>
      <c r="I38" s="34"/>
      <c r="J38" s="1"/>
      <c r="K38" s="1"/>
      <c r="L38" s="35"/>
      <c r="M38" s="35"/>
      <c r="N38" s="35"/>
      <c r="O38" s="35"/>
      <c r="P38" s="35"/>
      <c r="Q38" s="35"/>
      <c r="R38" s="1"/>
      <c r="S38" s="2"/>
      <c r="T38" s="2"/>
      <c r="U38" s="3"/>
      <c r="V38" s="4"/>
    </row>
    <row r="39" spans="2:22">
      <c r="B39" s="1"/>
      <c r="C39" s="1"/>
      <c r="D39" s="1"/>
      <c r="E39" s="2"/>
      <c r="F39" s="2"/>
      <c r="G39" s="2"/>
      <c r="H39" s="2"/>
      <c r="I39" s="34"/>
      <c r="J39" s="1"/>
      <c r="K39" s="1"/>
      <c r="L39" s="35"/>
      <c r="M39" s="35"/>
      <c r="N39" s="35"/>
      <c r="O39" s="35"/>
      <c r="P39" s="35"/>
      <c r="Q39" s="35"/>
      <c r="R39" s="1"/>
      <c r="S39" s="2"/>
      <c r="T39" s="2"/>
      <c r="U39" s="3"/>
      <c r="V39" s="4"/>
    </row>
    <row r="40" spans="2:22">
      <c r="B40" s="1"/>
      <c r="C40" s="1"/>
      <c r="D40" s="1"/>
      <c r="E40" s="2"/>
      <c r="F40" s="2"/>
      <c r="G40" s="2"/>
      <c r="H40" s="2"/>
      <c r="I40" s="34"/>
      <c r="J40" s="1"/>
      <c r="K40" s="1"/>
      <c r="L40" s="35"/>
      <c r="M40" s="35"/>
      <c r="N40" s="35"/>
      <c r="O40" s="35"/>
      <c r="P40" s="35"/>
      <c r="Q40" s="35"/>
      <c r="R40" s="1"/>
      <c r="S40" s="2"/>
      <c r="T40" s="2"/>
      <c r="U40" s="3"/>
      <c r="V40" s="4"/>
    </row>
    <row r="41" spans="2:22">
      <c r="B41" s="1"/>
      <c r="C41" s="1"/>
      <c r="D41" s="1"/>
      <c r="E41" s="2"/>
      <c r="F41" s="2"/>
      <c r="G41" s="2"/>
      <c r="H41" s="2"/>
      <c r="I41" s="34"/>
      <c r="J41" s="1"/>
      <c r="K41" s="1"/>
      <c r="L41" s="35"/>
      <c r="M41" s="35"/>
      <c r="N41" s="35"/>
      <c r="O41" s="35"/>
      <c r="P41" s="35"/>
      <c r="Q41" s="35"/>
      <c r="R41" s="1"/>
      <c r="S41" s="2"/>
      <c r="T41" s="2"/>
      <c r="U41" s="3"/>
      <c r="V41" s="4"/>
    </row>
    <row r="42" spans="2:22">
      <c r="B42" s="1"/>
      <c r="C42" s="1"/>
      <c r="D42" s="1"/>
      <c r="E42" s="2"/>
      <c r="F42" s="2"/>
      <c r="G42" s="2"/>
      <c r="H42" s="2"/>
      <c r="I42" s="34"/>
      <c r="J42" s="1"/>
      <c r="K42" s="1"/>
      <c r="L42" s="35"/>
      <c r="M42" s="35"/>
      <c r="N42" s="35"/>
      <c r="O42" s="35"/>
      <c r="P42" s="35"/>
      <c r="Q42" s="35"/>
      <c r="R42" s="1"/>
      <c r="S42" s="2"/>
      <c r="T42" s="2"/>
      <c r="U42" s="3"/>
      <c r="V42" s="4"/>
    </row>
    <row r="43" spans="2:22">
      <c r="B43" s="1"/>
      <c r="C43" s="1"/>
      <c r="D43" s="1"/>
      <c r="E43" s="2"/>
      <c r="F43" s="2"/>
      <c r="G43" s="2"/>
      <c r="H43" s="2"/>
      <c r="I43" s="34"/>
      <c r="J43" s="1"/>
      <c r="K43" s="1"/>
      <c r="L43" s="35"/>
      <c r="M43" s="35"/>
      <c r="N43" s="35"/>
      <c r="O43" s="35"/>
      <c r="P43" s="35"/>
      <c r="Q43" s="35"/>
      <c r="R43" s="1"/>
      <c r="S43" s="2"/>
      <c r="T43" s="2"/>
      <c r="U43" s="3"/>
      <c r="V43" s="4"/>
    </row>
    <row r="44" spans="2:22">
      <c r="B44" s="1"/>
      <c r="C44" s="1"/>
      <c r="D44" s="1"/>
      <c r="E44" s="2"/>
      <c r="F44" s="2"/>
      <c r="G44" s="2"/>
      <c r="H44" s="2"/>
      <c r="I44" s="34"/>
      <c r="J44" s="1"/>
      <c r="K44" s="1"/>
      <c r="L44" s="35"/>
      <c r="M44" s="35"/>
      <c r="N44" s="35"/>
      <c r="O44" s="35"/>
      <c r="P44" s="35"/>
      <c r="Q44" s="35"/>
      <c r="R44" s="1"/>
      <c r="S44" s="2"/>
      <c r="T44" s="2"/>
      <c r="U44" s="3"/>
      <c r="V44" s="4"/>
    </row>
    <row r="45" spans="2:22">
      <c r="B45" s="1"/>
      <c r="C45" s="1"/>
      <c r="D45" s="1"/>
      <c r="E45" s="2"/>
      <c r="F45" s="2"/>
      <c r="G45" s="2"/>
      <c r="H45" s="2"/>
      <c r="I45" s="34"/>
      <c r="J45" s="1"/>
      <c r="K45" s="1"/>
      <c r="L45" s="35"/>
      <c r="M45" s="35"/>
      <c r="N45" s="35"/>
      <c r="O45" s="35"/>
      <c r="P45" s="35"/>
      <c r="Q45" s="35"/>
      <c r="R45" s="1"/>
      <c r="S45" s="2"/>
      <c r="T45" s="2"/>
      <c r="U45" s="3"/>
      <c r="V45" s="4"/>
    </row>
    <row r="46" spans="2:22">
      <c r="B46" s="1"/>
      <c r="C46" s="1"/>
      <c r="D46" s="1"/>
      <c r="E46" s="2"/>
      <c r="F46" s="2"/>
      <c r="G46" s="2"/>
      <c r="H46" s="2"/>
      <c r="I46" s="34"/>
      <c r="J46" s="1"/>
      <c r="K46" s="1"/>
      <c r="L46" s="35"/>
      <c r="M46" s="35"/>
      <c r="N46" s="35"/>
      <c r="O46" s="35"/>
      <c r="P46" s="35"/>
      <c r="Q46" s="35"/>
      <c r="R46" s="1"/>
      <c r="S46" s="2"/>
      <c r="T46" s="2"/>
      <c r="U46" s="3"/>
      <c r="V46" s="4"/>
    </row>
    <row r="47" spans="2:22">
      <c r="B47" s="1"/>
      <c r="C47" s="1"/>
      <c r="D47" s="1"/>
      <c r="E47" s="2"/>
      <c r="F47" s="2"/>
      <c r="G47" s="2"/>
      <c r="H47" s="2"/>
      <c r="I47" s="34"/>
      <c r="J47" s="1"/>
      <c r="K47" s="1"/>
      <c r="L47" s="35"/>
      <c r="M47" s="35"/>
      <c r="N47" s="35"/>
      <c r="O47" s="35"/>
      <c r="P47" s="35"/>
      <c r="Q47" s="35"/>
      <c r="R47" s="1"/>
      <c r="S47" s="2"/>
      <c r="T47" s="2"/>
      <c r="U47" s="3"/>
      <c r="V47" s="4"/>
    </row>
    <row r="48" spans="2:22">
      <c r="B48" s="1"/>
      <c r="C48" s="1"/>
      <c r="D48" s="1"/>
      <c r="E48" s="2"/>
      <c r="F48" s="2"/>
      <c r="G48" s="2"/>
      <c r="H48" s="2"/>
      <c r="I48" s="34"/>
      <c r="J48" s="1"/>
      <c r="K48" s="1"/>
      <c r="L48" s="35"/>
      <c r="M48" s="35"/>
      <c r="N48" s="35"/>
      <c r="O48" s="35"/>
      <c r="P48" s="35"/>
      <c r="Q48" s="35"/>
      <c r="R48" s="1"/>
      <c r="S48" s="2"/>
      <c r="T48" s="2"/>
      <c r="U48" s="3"/>
      <c r="V48" s="4"/>
    </row>
    <row r="49" spans="2:22">
      <c r="B49" s="1"/>
      <c r="C49" s="1"/>
      <c r="D49" s="1"/>
      <c r="E49" s="2"/>
      <c r="F49" s="2"/>
      <c r="G49" s="2"/>
      <c r="H49" s="2"/>
      <c r="I49" s="34"/>
      <c r="J49" s="1"/>
      <c r="K49" s="1"/>
      <c r="L49" s="35"/>
      <c r="M49" s="35"/>
      <c r="N49" s="35"/>
      <c r="O49" s="35"/>
      <c r="P49" s="35"/>
      <c r="Q49" s="35"/>
      <c r="R49" s="1"/>
      <c r="S49" s="2"/>
      <c r="T49" s="2"/>
      <c r="U49" s="3"/>
      <c r="V49" s="4"/>
    </row>
    <row r="50" spans="2:22">
      <c r="B50" s="1"/>
      <c r="C50" s="1"/>
      <c r="D50" s="1"/>
      <c r="E50" s="2"/>
      <c r="F50" s="2"/>
      <c r="G50" s="2"/>
      <c r="H50" s="2"/>
      <c r="I50" s="34"/>
      <c r="J50" s="1"/>
      <c r="K50" s="1"/>
      <c r="L50" s="35"/>
      <c r="M50" s="35"/>
      <c r="N50" s="35"/>
      <c r="O50" s="35"/>
      <c r="P50" s="35"/>
      <c r="Q50" s="35"/>
      <c r="R50" s="1"/>
      <c r="S50" s="2"/>
      <c r="T50" s="2"/>
      <c r="U50" s="3"/>
      <c r="V50" s="4"/>
    </row>
    <row r="51" spans="2:22">
      <c r="B51" s="1"/>
      <c r="C51" s="1"/>
      <c r="D51" s="1"/>
      <c r="E51" s="2"/>
      <c r="F51" s="2"/>
      <c r="G51" s="2"/>
      <c r="H51" s="2"/>
      <c r="I51" s="34"/>
      <c r="J51" s="1"/>
      <c r="K51" s="1"/>
      <c r="L51" s="35"/>
      <c r="M51" s="35"/>
      <c r="N51" s="35"/>
      <c r="O51" s="35"/>
      <c r="P51" s="35"/>
      <c r="Q51" s="35"/>
      <c r="R51" s="1"/>
      <c r="S51" s="2"/>
      <c r="T51" s="2"/>
      <c r="U51" s="3"/>
      <c r="V51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V51"/>
  <sheetViews>
    <sheetView workbookViewId="0">
      <selection sqref="A1:XFD1048576"/>
    </sheetView>
  </sheetViews>
  <sheetFormatPr defaultRowHeight="15"/>
  <cols>
    <col min="1" max="1" width="10.5703125" customWidth="1"/>
    <col min="5" max="6" width="13.85546875" customWidth="1"/>
    <col min="7" max="7" width="6.5703125" customWidth="1"/>
    <col min="8" max="8" width="7.5703125" customWidth="1"/>
    <col min="10" max="10" width="11.140625" customWidth="1"/>
    <col min="11" max="11" width="12.7109375" customWidth="1"/>
    <col min="12" max="14" width="9.28515625" customWidth="1"/>
    <col min="15" max="15" width="7.5703125" customWidth="1"/>
    <col min="16" max="17" width="9.28515625" customWidth="1"/>
    <col min="18" max="18" width="16.42578125" customWidth="1"/>
    <col min="22" max="22" width="10.7109375" customWidth="1"/>
  </cols>
  <sheetData>
    <row r="2" spans="2:22">
      <c r="B2" s="1"/>
      <c r="C2" s="1"/>
      <c r="D2" s="1"/>
      <c r="E2" s="2"/>
      <c r="F2" s="2"/>
      <c r="G2" s="2"/>
      <c r="H2" s="2"/>
      <c r="I2" s="34"/>
      <c r="J2" s="1"/>
      <c r="K2" s="1"/>
      <c r="L2" s="35"/>
      <c r="M2" s="35"/>
      <c r="N2" s="35"/>
      <c r="O2" s="35"/>
      <c r="P2" s="35"/>
      <c r="Q2" s="35"/>
      <c r="R2" s="1"/>
      <c r="S2" s="2"/>
      <c r="T2" s="2"/>
      <c r="U2" s="3"/>
      <c r="V2" s="4"/>
    </row>
    <row r="3" spans="2:22">
      <c r="B3" s="1"/>
      <c r="C3" s="1"/>
      <c r="D3" s="1"/>
      <c r="E3" s="2"/>
      <c r="F3" s="2"/>
      <c r="G3" s="2"/>
      <c r="H3" s="2"/>
      <c r="I3" s="34"/>
      <c r="J3" s="1"/>
      <c r="K3" s="1"/>
      <c r="L3" s="35"/>
      <c r="M3" s="35"/>
      <c r="N3" s="35"/>
      <c r="O3" s="35"/>
      <c r="P3" s="35"/>
      <c r="Q3" s="35"/>
      <c r="R3" s="1"/>
      <c r="S3" s="2"/>
      <c r="T3" s="2"/>
      <c r="U3" s="3"/>
      <c r="V3" s="4"/>
    </row>
    <row r="4" spans="2:22">
      <c r="B4" s="1"/>
      <c r="C4" s="1"/>
      <c r="D4" s="1"/>
      <c r="E4" s="2"/>
      <c r="F4" s="2"/>
      <c r="G4" s="2"/>
      <c r="H4" s="2"/>
      <c r="I4" s="34"/>
      <c r="J4" s="1"/>
      <c r="K4" s="1"/>
      <c r="L4" s="35"/>
      <c r="M4" s="35"/>
      <c r="N4" s="35"/>
      <c r="O4" s="35"/>
      <c r="P4" s="35"/>
      <c r="Q4" s="35"/>
      <c r="R4" s="1"/>
      <c r="S4" s="2"/>
      <c r="T4" s="2"/>
      <c r="U4" s="3"/>
      <c r="V4" s="4"/>
    </row>
    <row r="5" spans="2:22">
      <c r="B5" s="1"/>
      <c r="C5" s="1"/>
      <c r="D5" s="1"/>
      <c r="E5" s="2"/>
      <c r="F5" s="2"/>
      <c r="G5" s="2"/>
      <c r="H5" s="2"/>
      <c r="I5" s="34"/>
      <c r="J5" s="1"/>
      <c r="K5" s="1"/>
      <c r="L5" s="35"/>
      <c r="M5" s="35"/>
      <c r="N5" s="35"/>
      <c r="O5" s="35"/>
      <c r="P5" s="35"/>
      <c r="Q5" s="35"/>
      <c r="R5" s="1"/>
      <c r="S5" s="2"/>
      <c r="T5" s="2"/>
      <c r="U5" s="3"/>
      <c r="V5" s="4"/>
    </row>
    <row r="6" spans="2:22">
      <c r="B6" s="1"/>
      <c r="C6" s="1"/>
      <c r="D6" s="1"/>
      <c r="E6" s="2"/>
      <c r="F6" s="2"/>
      <c r="G6" s="2"/>
      <c r="H6" s="2"/>
      <c r="I6" s="34"/>
      <c r="J6" s="1"/>
      <c r="K6" s="1"/>
      <c r="L6" s="35"/>
      <c r="M6" s="35"/>
      <c r="N6" s="35"/>
      <c r="O6" s="35"/>
      <c r="P6" s="35"/>
      <c r="Q6" s="35"/>
      <c r="R6" s="1"/>
      <c r="S6" s="2"/>
      <c r="T6" s="2"/>
      <c r="U6" s="3"/>
      <c r="V6" s="4"/>
    </row>
    <row r="7" spans="2:22">
      <c r="B7" s="1"/>
      <c r="C7" s="1"/>
      <c r="D7" s="1"/>
      <c r="E7" s="2"/>
      <c r="F7" s="2"/>
      <c r="G7" s="2"/>
      <c r="H7" s="2"/>
      <c r="I7" s="34"/>
      <c r="J7" s="1"/>
      <c r="K7" s="1"/>
      <c r="L7" s="35"/>
      <c r="M7" s="35"/>
      <c r="N7" s="35"/>
      <c r="O7" s="35"/>
      <c r="P7" s="35"/>
      <c r="Q7" s="35"/>
      <c r="R7" s="1"/>
      <c r="S7" s="2"/>
      <c r="T7" s="2"/>
      <c r="U7" s="3"/>
      <c r="V7" s="4"/>
    </row>
    <row r="8" spans="2:22">
      <c r="B8" s="1"/>
      <c r="C8" s="1"/>
      <c r="D8" s="1"/>
      <c r="E8" s="2"/>
      <c r="F8" s="2"/>
      <c r="G8" s="2"/>
      <c r="H8" s="2"/>
      <c r="I8" s="34"/>
      <c r="J8" s="1"/>
      <c r="K8" s="1"/>
      <c r="L8" s="35"/>
      <c r="M8" s="35"/>
      <c r="N8" s="35"/>
      <c r="O8" s="35"/>
      <c r="P8" s="35"/>
      <c r="Q8" s="35"/>
      <c r="R8" s="1"/>
      <c r="S8" s="2"/>
      <c r="T8" s="2"/>
      <c r="U8" s="3"/>
      <c r="V8" s="4"/>
    </row>
    <row r="9" spans="2:22">
      <c r="B9" s="1"/>
      <c r="C9" s="1"/>
      <c r="D9" s="1"/>
      <c r="E9" s="2"/>
      <c r="F9" s="2"/>
      <c r="G9" s="2"/>
      <c r="H9" s="2"/>
      <c r="I9" s="34"/>
      <c r="J9" s="1"/>
      <c r="K9" s="1"/>
      <c r="L9" s="35"/>
      <c r="M9" s="35"/>
      <c r="N9" s="35"/>
      <c r="O9" s="35"/>
      <c r="P9" s="35"/>
      <c r="Q9" s="35"/>
      <c r="R9" s="1"/>
      <c r="S9" s="2"/>
      <c r="T9" s="2"/>
      <c r="U9" s="3"/>
      <c r="V9" s="4"/>
    </row>
    <row r="10" spans="2:22">
      <c r="B10" s="1"/>
      <c r="C10" s="1"/>
      <c r="D10" s="1"/>
      <c r="E10" s="2"/>
      <c r="F10" s="2"/>
      <c r="G10" s="2"/>
      <c r="H10" s="2"/>
      <c r="I10" s="34"/>
      <c r="J10" s="1"/>
      <c r="K10" s="1"/>
      <c r="L10" s="35"/>
      <c r="M10" s="35"/>
      <c r="N10" s="35"/>
      <c r="O10" s="35"/>
      <c r="P10" s="35"/>
      <c r="Q10" s="35"/>
      <c r="R10" s="1"/>
      <c r="S10" s="2"/>
      <c r="T10" s="2"/>
      <c r="U10" s="3"/>
      <c r="V10" s="4"/>
    </row>
    <row r="11" spans="2:22">
      <c r="B11" s="1"/>
      <c r="C11" s="1"/>
      <c r="D11" s="1"/>
      <c r="E11" s="2"/>
      <c r="F11" s="2"/>
      <c r="G11" s="2"/>
      <c r="H11" s="2"/>
      <c r="I11" s="34"/>
      <c r="J11" s="1"/>
      <c r="K11" s="1"/>
      <c r="L11" s="35"/>
      <c r="M11" s="35"/>
      <c r="N11" s="35"/>
      <c r="O11" s="35"/>
      <c r="P11" s="35"/>
      <c r="Q11" s="35"/>
      <c r="R11" s="1"/>
      <c r="S11" s="2"/>
      <c r="T11" s="2"/>
      <c r="U11" s="3"/>
      <c r="V11" s="4"/>
    </row>
    <row r="12" spans="2:22">
      <c r="B12" s="1"/>
      <c r="C12" s="1"/>
      <c r="D12" s="1"/>
      <c r="E12" s="2"/>
      <c r="F12" s="2"/>
      <c r="G12" s="2"/>
      <c r="H12" s="2"/>
      <c r="I12" s="34"/>
      <c r="J12" s="1"/>
      <c r="K12" s="1"/>
      <c r="L12" s="35"/>
      <c r="M12" s="35"/>
      <c r="N12" s="35"/>
      <c r="O12" s="35"/>
      <c r="P12" s="35"/>
      <c r="Q12" s="35"/>
      <c r="R12" s="1"/>
      <c r="S12" s="2"/>
      <c r="T12" s="2"/>
      <c r="U12" s="3"/>
      <c r="V12" s="4"/>
    </row>
    <row r="13" spans="2:22">
      <c r="B13" s="1"/>
      <c r="C13" s="1"/>
      <c r="D13" s="1"/>
      <c r="E13" s="2"/>
      <c r="F13" s="2"/>
      <c r="G13" s="2"/>
      <c r="H13" s="2"/>
      <c r="I13" s="34"/>
      <c r="J13" s="1"/>
      <c r="K13" s="1"/>
      <c r="L13" s="35"/>
      <c r="M13" s="35"/>
      <c r="N13" s="35"/>
      <c r="O13" s="35"/>
      <c r="P13" s="35"/>
      <c r="Q13" s="35"/>
      <c r="R13" s="1"/>
      <c r="S13" s="2"/>
      <c r="T13" s="2"/>
      <c r="U13" s="3"/>
      <c r="V13" s="4"/>
    </row>
    <row r="14" spans="2:22">
      <c r="B14" s="1"/>
      <c r="C14" s="1"/>
      <c r="D14" s="1"/>
      <c r="E14" s="2"/>
      <c r="F14" s="2"/>
      <c r="G14" s="2"/>
      <c r="H14" s="2"/>
      <c r="I14" s="34"/>
      <c r="J14" s="1"/>
      <c r="K14" s="1"/>
      <c r="L14" s="35"/>
      <c r="M14" s="35"/>
      <c r="N14" s="35"/>
      <c r="O14" s="35"/>
      <c r="P14" s="35"/>
      <c r="Q14" s="35"/>
      <c r="R14" s="1"/>
      <c r="S14" s="2"/>
      <c r="T14" s="2"/>
      <c r="U14" s="3"/>
      <c r="V14" s="4"/>
    </row>
    <row r="15" spans="2:22">
      <c r="B15" s="1"/>
      <c r="C15" s="1"/>
      <c r="D15" s="1"/>
      <c r="E15" s="2"/>
      <c r="F15" s="2"/>
      <c r="G15" s="2"/>
      <c r="H15" s="2"/>
      <c r="I15" s="34"/>
      <c r="J15" s="1"/>
      <c r="K15" s="1"/>
      <c r="L15" s="35"/>
      <c r="M15" s="35"/>
      <c r="N15" s="35"/>
      <c r="O15" s="35"/>
      <c r="P15" s="35"/>
      <c r="Q15" s="35"/>
      <c r="R15" s="1"/>
      <c r="S15" s="2"/>
      <c r="T15" s="2"/>
      <c r="U15" s="3"/>
      <c r="V15" s="4"/>
    </row>
    <row r="16" spans="2:22">
      <c r="B16" s="1"/>
      <c r="C16" s="1"/>
      <c r="D16" s="1"/>
      <c r="E16" s="2"/>
      <c r="F16" s="2"/>
      <c r="G16" s="2"/>
      <c r="H16" s="2"/>
      <c r="I16" s="34"/>
      <c r="J16" s="1"/>
      <c r="K16" s="1"/>
      <c r="L16" s="35"/>
      <c r="M16" s="35"/>
      <c r="N16" s="35"/>
      <c r="O16" s="35"/>
      <c r="P16" s="35"/>
      <c r="Q16" s="35"/>
      <c r="R16" s="1"/>
      <c r="S16" s="2"/>
      <c r="T16" s="2"/>
      <c r="U16" s="3"/>
      <c r="V16" s="4"/>
    </row>
    <row r="17" spans="2:22">
      <c r="B17" s="1"/>
      <c r="C17" s="1"/>
      <c r="D17" s="1"/>
      <c r="E17" s="2"/>
      <c r="F17" s="2"/>
      <c r="G17" s="2"/>
      <c r="H17" s="2"/>
      <c r="I17" s="34"/>
      <c r="J17" s="1"/>
      <c r="K17" s="1"/>
      <c r="L17" s="35"/>
      <c r="M17" s="35"/>
      <c r="N17" s="35"/>
      <c r="O17" s="35"/>
      <c r="P17" s="35"/>
      <c r="Q17" s="35"/>
      <c r="R17" s="1"/>
      <c r="S17" s="2"/>
      <c r="T17" s="2"/>
      <c r="U17" s="3"/>
      <c r="V17" s="4"/>
    </row>
    <row r="18" spans="2:22">
      <c r="B18" s="1"/>
      <c r="C18" s="1"/>
      <c r="D18" s="1"/>
      <c r="E18" s="2"/>
      <c r="F18" s="2"/>
      <c r="G18" s="2"/>
      <c r="H18" s="2"/>
      <c r="I18" s="34"/>
      <c r="J18" s="1"/>
      <c r="K18" s="1"/>
      <c r="L18" s="35"/>
      <c r="M18" s="35"/>
      <c r="N18" s="35"/>
      <c r="O18" s="35"/>
      <c r="P18" s="35"/>
      <c r="Q18" s="35"/>
      <c r="R18" s="1"/>
      <c r="S18" s="2"/>
      <c r="T18" s="2"/>
      <c r="U18" s="3"/>
      <c r="V18" s="4"/>
    </row>
    <row r="19" spans="2:22">
      <c r="B19" s="1"/>
      <c r="C19" s="1"/>
      <c r="D19" s="1"/>
      <c r="E19" s="2"/>
      <c r="F19" s="2"/>
      <c r="G19" s="2"/>
      <c r="H19" s="2"/>
      <c r="I19" s="34"/>
      <c r="J19" s="1"/>
      <c r="K19" s="1"/>
      <c r="L19" s="35"/>
      <c r="M19" s="35"/>
      <c r="N19" s="35"/>
      <c r="O19" s="35"/>
      <c r="P19" s="35"/>
      <c r="Q19" s="35"/>
      <c r="R19" s="1"/>
      <c r="S19" s="2"/>
      <c r="T19" s="2"/>
      <c r="U19" s="3"/>
      <c r="V19" s="4"/>
    </row>
    <row r="20" spans="2:22">
      <c r="B20" s="1"/>
      <c r="C20" s="1"/>
      <c r="D20" s="1"/>
      <c r="E20" s="2"/>
      <c r="F20" s="2"/>
      <c r="G20" s="2"/>
      <c r="H20" s="2"/>
      <c r="I20" s="34"/>
      <c r="J20" s="1"/>
      <c r="K20" s="1"/>
      <c r="L20" s="35"/>
      <c r="M20" s="35"/>
      <c r="N20" s="35"/>
      <c r="O20" s="35"/>
      <c r="P20" s="35"/>
      <c r="Q20" s="35"/>
      <c r="R20" s="1"/>
      <c r="S20" s="2"/>
      <c r="T20" s="2"/>
      <c r="U20" s="3"/>
      <c r="V20" s="4"/>
    </row>
    <row r="21" spans="2:22">
      <c r="B21" s="1"/>
      <c r="C21" s="1"/>
      <c r="D21" s="1"/>
      <c r="E21" s="2"/>
      <c r="F21" s="2"/>
      <c r="G21" s="2"/>
      <c r="H21" s="2"/>
      <c r="I21" s="34"/>
      <c r="J21" s="1"/>
      <c r="K21" s="1"/>
      <c r="L21" s="35"/>
      <c r="M21" s="35"/>
      <c r="N21" s="35"/>
      <c r="O21" s="35"/>
      <c r="P21" s="35"/>
      <c r="Q21" s="35"/>
      <c r="R21" s="1"/>
      <c r="S21" s="2"/>
      <c r="T21" s="2"/>
      <c r="U21" s="3"/>
      <c r="V21" s="4"/>
    </row>
    <row r="22" spans="2:22">
      <c r="B22" s="1"/>
      <c r="C22" s="1"/>
      <c r="D22" s="1"/>
      <c r="E22" s="2"/>
      <c r="F22" s="2"/>
      <c r="G22" s="2"/>
      <c r="H22" s="2"/>
      <c r="I22" s="34"/>
      <c r="J22" s="1"/>
      <c r="K22" s="1"/>
      <c r="L22" s="35"/>
      <c r="M22" s="35"/>
      <c r="N22" s="35"/>
      <c r="O22" s="35"/>
      <c r="P22" s="35"/>
      <c r="Q22" s="35"/>
      <c r="R22" s="1"/>
      <c r="S22" s="2"/>
      <c r="T22" s="2"/>
      <c r="U22" s="3"/>
      <c r="V22" s="4"/>
    </row>
    <row r="23" spans="2:22">
      <c r="B23" s="1"/>
      <c r="C23" s="1"/>
      <c r="D23" s="1"/>
      <c r="E23" s="2"/>
      <c r="F23" s="2"/>
      <c r="G23" s="2"/>
      <c r="H23" s="2"/>
      <c r="I23" s="34"/>
      <c r="J23" s="1"/>
      <c r="K23" s="1"/>
      <c r="L23" s="35"/>
      <c r="M23" s="35"/>
      <c r="N23" s="35"/>
      <c r="O23" s="35"/>
      <c r="P23" s="35"/>
      <c r="Q23" s="35"/>
      <c r="R23" s="1"/>
      <c r="S23" s="2"/>
      <c r="T23" s="2"/>
      <c r="U23" s="3"/>
      <c r="V23" s="4"/>
    </row>
    <row r="24" spans="2:22">
      <c r="B24" s="1"/>
      <c r="C24" s="1"/>
      <c r="D24" s="1"/>
      <c r="E24" s="2"/>
      <c r="F24" s="2"/>
      <c r="G24" s="2"/>
      <c r="H24" s="2"/>
      <c r="I24" s="34"/>
      <c r="J24" s="1"/>
      <c r="K24" s="1"/>
      <c r="L24" s="35"/>
      <c r="M24" s="35"/>
      <c r="N24" s="35"/>
      <c r="O24" s="35"/>
      <c r="P24" s="35"/>
      <c r="Q24" s="35"/>
      <c r="R24" s="1"/>
      <c r="S24" s="2"/>
      <c r="T24" s="2"/>
      <c r="U24" s="3"/>
      <c r="V24" s="4"/>
    </row>
    <row r="25" spans="2:22">
      <c r="B25" s="1"/>
      <c r="C25" s="1"/>
      <c r="D25" s="1"/>
      <c r="E25" s="2"/>
      <c r="F25" s="2"/>
      <c r="G25" s="2"/>
      <c r="H25" s="2"/>
      <c r="I25" s="34"/>
      <c r="J25" s="1"/>
      <c r="K25" s="1"/>
      <c r="L25" s="35"/>
      <c r="M25" s="35"/>
      <c r="N25" s="35"/>
      <c r="O25" s="35"/>
      <c r="P25" s="35"/>
      <c r="Q25" s="35"/>
      <c r="R25" s="1"/>
      <c r="S25" s="2"/>
      <c r="T25" s="2"/>
      <c r="U25" s="3"/>
      <c r="V25" s="4"/>
    </row>
    <row r="26" spans="2:22">
      <c r="B26" s="1"/>
      <c r="C26" s="1"/>
      <c r="D26" s="1"/>
      <c r="E26" s="2"/>
      <c r="F26" s="2"/>
      <c r="G26" s="2"/>
      <c r="H26" s="2"/>
      <c r="I26" s="34"/>
      <c r="J26" s="1"/>
      <c r="K26" s="1"/>
      <c r="L26" s="35"/>
      <c r="M26" s="35"/>
      <c r="N26" s="35"/>
      <c r="O26" s="35"/>
      <c r="P26" s="35"/>
      <c r="Q26" s="35"/>
      <c r="R26" s="1"/>
      <c r="S26" s="2"/>
      <c r="T26" s="2"/>
      <c r="U26" s="3"/>
      <c r="V26" s="4"/>
    </row>
    <row r="27" spans="2:22">
      <c r="B27" s="1"/>
      <c r="C27" s="1"/>
      <c r="D27" s="1"/>
      <c r="E27" s="2"/>
      <c r="F27" s="2"/>
      <c r="G27" s="2"/>
      <c r="H27" s="2"/>
      <c r="I27" s="34"/>
      <c r="J27" s="1"/>
      <c r="K27" s="1"/>
      <c r="L27" s="35"/>
      <c r="M27" s="35"/>
      <c r="N27" s="35"/>
      <c r="O27" s="35"/>
      <c r="P27" s="35"/>
      <c r="Q27" s="35"/>
      <c r="R27" s="1"/>
      <c r="S27" s="2"/>
      <c r="T27" s="2"/>
      <c r="U27" s="3"/>
      <c r="V27" s="4"/>
    </row>
    <row r="28" spans="2:22">
      <c r="B28" s="1"/>
      <c r="C28" s="1"/>
      <c r="D28" s="1"/>
      <c r="E28" s="2"/>
      <c r="F28" s="2"/>
      <c r="G28" s="2"/>
      <c r="H28" s="2"/>
      <c r="I28" s="34"/>
      <c r="J28" s="1"/>
      <c r="K28" s="1"/>
      <c r="L28" s="35"/>
      <c r="M28" s="35"/>
      <c r="N28" s="35"/>
      <c r="O28" s="35"/>
      <c r="P28" s="35"/>
      <c r="Q28" s="35"/>
      <c r="R28" s="1"/>
      <c r="S28" s="2"/>
      <c r="T28" s="2"/>
      <c r="U28" s="3"/>
      <c r="V28" s="4"/>
    </row>
    <row r="29" spans="2:22">
      <c r="B29" s="1"/>
      <c r="C29" s="1"/>
      <c r="D29" s="1"/>
      <c r="E29" s="2"/>
      <c r="F29" s="2"/>
      <c r="G29" s="2"/>
      <c r="H29" s="2"/>
      <c r="I29" s="34"/>
      <c r="J29" s="1"/>
      <c r="K29" s="1"/>
      <c r="L29" s="35"/>
      <c r="M29" s="35"/>
      <c r="N29" s="35"/>
      <c r="O29" s="35"/>
      <c r="P29" s="35"/>
      <c r="Q29" s="35"/>
      <c r="R29" s="1"/>
      <c r="S29" s="2"/>
      <c r="T29" s="2"/>
      <c r="U29" s="3"/>
      <c r="V29" s="4"/>
    </row>
    <row r="30" spans="2:22">
      <c r="B30" s="1"/>
      <c r="C30" s="1"/>
      <c r="D30" s="1"/>
      <c r="E30" s="2"/>
      <c r="F30" s="2"/>
      <c r="G30" s="2"/>
      <c r="H30" s="2"/>
      <c r="I30" s="34"/>
      <c r="J30" s="1"/>
      <c r="K30" s="1"/>
      <c r="L30" s="35"/>
      <c r="M30" s="35"/>
      <c r="N30" s="35"/>
      <c r="O30" s="35"/>
      <c r="P30" s="35"/>
      <c r="Q30" s="35"/>
      <c r="R30" s="1"/>
      <c r="S30" s="2"/>
      <c r="T30" s="2"/>
      <c r="U30" s="3"/>
      <c r="V30" s="4"/>
    </row>
    <row r="31" spans="2:22">
      <c r="B31" s="1"/>
      <c r="C31" s="1"/>
      <c r="D31" s="1"/>
      <c r="E31" s="2"/>
      <c r="F31" s="2"/>
      <c r="G31" s="2"/>
      <c r="H31" s="2"/>
      <c r="I31" s="34"/>
      <c r="J31" s="1"/>
      <c r="K31" s="1"/>
      <c r="L31" s="35"/>
      <c r="M31" s="35"/>
      <c r="N31" s="35"/>
      <c r="O31" s="35"/>
      <c r="P31" s="35"/>
      <c r="Q31" s="35"/>
      <c r="R31" s="1"/>
      <c r="S31" s="2"/>
      <c r="T31" s="2"/>
      <c r="U31" s="3"/>
      <c r="V31" s="4"/>
    </row>
    <row r="32" spans="2:22">
      <c r="B32" s="1"/>
      <c r="C32" s="1"/>
      <c r="D32" s="1"/>
      <c r="E32" s="2"/>
      <c r="F32" s="2"/>
      <c r="G32" s="2"/>
      <c r="H32" s="2"/>
      <c r="I32" s="34"/>
      <c r="J32" s="1"/>
      <c r="K32" s="1"/>
      <c r="L32" s="35"/>
      <c r="M32" s="35"/>
      <c r="N32" s="35"/>
      <c r="O32" s="35"/>
      <c r="P32" s="35"/>
      <c r="Q32" s="35"/>
      <c r="R32" s="1"/>
      <c r="S32" s="2"/>
      <c r="T32" s="2"/>
      <c r="U32" s="3"/>
      <c r="V32" s="4"/>
    </row>
    <row r="33" spans="2:22">
      <c r="B33" s="1"/>
      <c r="C33" s="1"/>
      <c r="D33" s="1"/>
      <c r="E33" s="2"/>
      <c r="F33" s="2"/>
      <c r="G33" s="2"/>
      <c r="H33" s="2"/>
      <c r="I33" s="34"/>
      <c r="J33" s="1"/>
      <c r="K33" s="1"/>
      <c r="L33" s="35"/>
      <c r="M33" s="35"/>
      <c r="N33" s="35"/>
      <c r="O33" s="35"/>
      <c r="P33" s="35"/>
      <c r="Q33" s="35"/>
      <c r="R33" s="1"/>
      <c r="S33" s="2"/>
      <c r="T33" s="2"/>
      <c r="U33" s="3"/>
      <c r="V33" s="4"/>
    </row>
    <row r="34" spans="2:22">
      <c r="B34" s="1"/>
      <c r="C34" s="1"/>
      <c r="D34" s="1"/>
      <c r="E34" s="2"/>
      <c r="F34" s="2"/>
      <c r="G34" s="2"/>
      <c r="H34" s="2"/>
      <c r="I34" s="34"/>
      <c r="J34" s="1"/>
      <c r="K34" s="1"/>
      <c r="L34" s="35"/>
      <c r="M34" s="35"/>
      <c r="N34" s="35"/>
      <c r="O34" s="35"/>
      <c r="P34" s="35"/>
      <c r="Q34" s="35"/>
      <c r="R34" s="1"/>
      <c r="S34" s="2"/>
      <c r="T34" s="2"/>
      <c r="U34" s="3"/>
      <c r="V34" s="4"/>
    </row>
    <row r="35" spans="2:22">
      <c r="B35" s="1"/>
      <c r="C35" s="1"/>
      <c r="D35" s="1"/>
      <c r="E35" s="2"/>
      <c r="F35" s="2"/>
      <c r="G35" s="2"/>
      <c r="H35" s="2"/>
      <c r="I35" s="34"/>
      <c r="J35" s="1"/>
      <c r="K35" s="1"/>
      <c r="L35" s="35"/>
      <c r="M35" s="35"/>
      <c r="N35" s="35"/>
      <c r="O35" s="35"/>
      <c r="P35" s="35"/>
      <c r="Q35" s="35"/>
      <c r="R35" s="1"/>
      <c r="S35" s="2"/>
      <c r="T35" s="2"/>
      <c r="U35" s="3"/>
      <c r="V35" s="4"/>
    </row>
    <row r="36" spans="2:22">
      <c r="B36" s="1"/>
      <c r="C36" s="1"/>
      <c r="D36" s="1"/>
      <c r="E36" s="2"/>
      <c r="F36" s="2"/>
      <c r="G36" s="2"/>
      <c r="H36" s="2"/>
      <c r="I36" s="34"/>
      <c r="J36" s="1"/>
      <c r="K36" s="1"/>
      <c r="L36" s="35"/>
      <c r="M36" s="35"/>
      <c r="N36" s="35"/>
      <c r="O36" s="35"/>
      <c r="P36" s="35"/>
      <c r="Q36" s="35"/>
      <c r="R36" s="1"/>
      <c r="S36" s="2"/>
      <c r="T36" s="2"/>
      <c r="U36" s="3"/>
      <c r="V36" s="4"/>
    </row>
    <row r="37" spans="2:22">
      <c r="B37" s="1"/>
      <c r="C37" s="1"/>
      <c r="D37" s="1"/>
      <c r="E37" s="2"/>
      <c r="F37" s="2"/>
      <c r="G37" s="2"/>
      <c r="H37" s="2"/>
      <c r="I37" s="34"/>
      <c r="J37" s="1"/>
      <c r="K37" s="1"/>
      <c r="L37" s="35"/>
      <c r="M37" s="35"/>
      <c r="N37" s="35"/>
      <c r="O37" s="35"/>
      <c r="P37" s="35"/>
      <c r="Q37" s="35"/>
      <c r="R37" s="1"/>
      <c r="S37" s="2"/>
      <c r="T37" s="2"/>
      <c r="U37" s="3"/>
      <c r="V37" s="4"/>
    </row>
    <row r="38" spans="2:22">
      <c r="B38" s="1"/>
      <c r="C38" s="1"/>
      <c r="D38" s="1"/>
      <c r="E38" s="2"/>
      <c r="F38" s="2"/>
      <c r="G38" s="2"/>
      <c r="H38" s="2"/>
      <c r="I38" s="34"/>
      <c r="J38" s="1"/>
      <c r="K38" s="1"/>
      <c r="L38" s="35"/>
      <c r="M38" s="35"/>
      <c r="N38" s="35"/>
      <c r="O38" s="35"/>
      <c r="P38" s="35"/>
      <c r="Q38" s="35"/>
      <c r="R38" s="1"/>
      <c r="S38" s="2"/>
      <c r="T38" s="2"/>
      <c r="U38" s="3"/>
      <c r="V38" s="4"/>
    </row>
    <row r="39" spans="2:22">
      <c r="B39" s="1"/>
      <c r="C39" s="1"/>
      <c r="D39" s="1"/>
      <c r="E39" s="2"/>
      <c r="F39" s="2"/>
      <c r="G39" s="2"/>
      <c r="H39" s="2"/>
      <c r="I39" s="34"/>
      <c r="J39" s="1"/>
      <c r="K39" s="1"/>
      <c r="L39" s="35"/>
      <c r="M39" s="35"/>
      <c r="N39" s="35"/>
      <c r="O39" s="35"/>
      <c r="P39" s="35"/>
      <c r="Q39" s="35"/>
      <c r="R39" s="1"/>
      <c r="S39" s="2"/>
      <c r="T39" s="2"/>
      <c r="U39" s="3"/>
      <c r="V39" s="4"/>
    </row>
    <row r="40" spans="2:22">
      <c r="B40" s="1"/>
      <c r="C40" s="1"/>
      <c r="D40" s="1"/>
      <c r="E40" s="2"/>
      <c r="F40" s="2"/>
      <c r="G40" s="2"/>
      <c r="H40" s="2"/>
      <c r="I40" s="34"/>
      <c r="J40" s="1"/>
      <c r="K40" s="1"/>
      <c r="L40" s="35"/>
      <c r="M40" s="35"/>
      <c r="N40" s="35"/>
      <c r="O40" s="35"/>
      <c r="P40" s="35"/>
      <c r="Q40" s="35"/>
      <c r="R40" s="1"/>
      <c r="S40" s="2"/>
      <c r="T40" s="2"/>
      <c r="U40" s="3"/>
      <c r="V40" s="4"/>
    </row>
    <row r="41" spans="2:22">
      <c r="B41" s="1"/>
      <c r="C41" s="1"/>
      <c r="D41" s="1"/>
      <c r="E41" s="2"/>
      <c r="F41" s="2"/>
      <c r="G41" s="2"/>
      <c r="H41" s="2"/>
      <c r="I41" s="34"/>
      <c r="J41" s="1"/>
      <c r="K41" s="1"/>
      <c r="L41" s="35"/>
      <c r="M41" s="35"/>
      <c r="N41" s="35"/>
      <c r="O41" s="35"/>
      <c r="P41" s="35"/>
      <c r="Q41" s="35"/>
      <c r="R41" s="1"/>
      <c r="S41" s="2"/>
      <c r="T41" s="2"/>
      <c r="U41" s="3"/>
      <c r="V41" s="4"/>
    </row>
    <row r="42" spans="2:22">
      <c r="B42" s="1"/>
      <c r="C42" s="1"/>
      <c r="D42" s="1"/>
      <c r="E42" s="2"/>
      <c r="F42" s="2"/>
      <c r="G42" s="2"/>
      <c r="H42" s="2"/>
      <c r="I42" s="34"/>
      <c r="J42" s="1"/>
      <c r="K42" s="1"/>
      <c r="L42" s="35"/>
      <c r="M42" s="35"/>
      <c r="N42" s="35"/>
      <c r="O42" s="35"/>
      <c r="P42" s="35"/>
      <c r="Q42" s="35"/>
      <c r="R42" s="1"/>
      <c r="S42" s="2"/>
      <c r="T42" s="2"/>
      <c r="U42" s="3"/>
      <c r="V42" s="4"/>
    </row>
    <row r="43" spans="2:22">
      <c r="B43" s="1"/>
      <c r="C43" s="1"/>
      <c r="D43" s="1"/>
      <c r="E43" s="2"/>
      <c r="F43" s="2"/>
      <c r="G43" s="2"/>
      <c r="H43" s="2"/>
      <c r="I43" s="34"/>
      <c r="J43" s="1"/>
      <c r="K43" s="1"/>
      <c r="L43" s="35"/>
      <c r="M43" s="35"/>
      <c r="N43" s="35"/>
      <c r="O43" s="35"/>
      <c r="P43" s="35"/>
      <c r="Q43" s="35"/>
      <c r="R43" s="1"/>
      <c r="S43" s="2"/>
      <c r="T43" s="2"/>
      <c r="U43" s="3"/>
      <c r="V43" s="4"/>
    </row>
    <row r="44" spans="2:22">
      <c r="B44" s="1"/>
      <c r="C44" s="1"/>
      <c r="D44" s="1"/>
      <c r="E44" s="2"/>
      <c r="F44" s="2"/>
      <c r="G44" s="2"/>
      <c r="H44" s="2"/>
      <c r="I44" s="34"/>
      <c r="J44" s="1"/>
      <c r="K44" s="1"/>
      <c r="L44" s="35"/>
      <c r="M44" s="35"/>
      <c r="N44" s="35"/>
      <c r="O44" s="35"/>
      <c r="P44" s="35"/>
      <c r="Q44" s="35"/>
      <c r="R44" s="1"/>
      <c r="S44" s="2"/>
      <c r="T44" s="2"/>
      <c r="U44" s="3"/>
      <c r="V44" s="4"/>
    </row>
    <row r="45" spans="2:22">
      <c r="B45" s="1"/>
      <c r="C45" s="1"/>
      <c r="D45" s="1"/>
      <c r="E45" s="2"/>
      <c r="F45" s="2"/>
      <c r="G45" s="2"/>
      <c r="H45" s="2"/>
      <c r="I45" s="34"/>
      <c r="J45" s="1"/>
      <c r="K45" s="1"/>
      <c r="L45" s="35"/>
      <c r="M45" s="35"/>
      <c r="N45" s="35"/>
      <c r="O45" s="35"/>
      <c r="P45" s="35"/>
      <c r="Q45" s="35"/>
      <c r="R45" s="1"/>
      <c r="S45" s="2"/>
      <c r="T45" s="2"/>
      <c r="U45" s="3"/>
      <c r="V45" s="4"/>
    </row>
    <row r="46" spans="2:22">
      <c r="B46" s="1"/>
      <c r="C46" s="1"/>
      <c r="D46" s="1"/>
      <c r="E46" s="2"/>
      <c r="F46" s="2"/>
      <c r="G46" s="2"/>
      <c r="H46" s="2"/>
      <c r="I46" s="34"/>
      <c r="J46" s="1"/>
      <c r="K46" s="1"/>
      <c r="L46" s="35"/>
      <c r="M46" s="35"/>
      <c r="N46" s="35"/>
      <c r="O46" s="35"/>
      <c r="P46" s="35"/>
      <c r="Q46" s="35"/>
      <c r="R46" s="1"/>
      <c r="S46" s="2"/>
      <c r="T46" s="2"/>
      <c r="U46" s="3"/>
      <c r="V46" s="4"/>
    </row>
    <row r="47" spans="2:22">
      <c r="B47" s="1"/>
      <c r="C47" s="1"/>
      <c r="D47" s="1"/>
      <c r="E47" s="2"/>
      <c r="F47" s="2"/>
      <c r="G47" s="2"/>
      <c r="H47" s="2"/>
      <c r="I47" s="34"/>
      <c r="J47" s="1"/>
      <c r="K47" s="1"/>
      <c r="L47" s="35"/>
      <c r="M47" s="35"/>
      <c r="N47" s="35"/>
      <c r="O47" s="35"/>
      <c r="P47" s="35"/>
      <c r="Q47" s="35"/>
      <c r="R47" s="1"/>
      <c r="S47" s="2"/>
      <c r="T47" s="2"/>
      <c r="U47" s="3"/>
      <c r="V47" s="4"/>
    </row>
    <row r="48" spans="2:22">
      <c r="B48" s="1"/>
      <c r="C48" s="1"/>
      <c r="D48" s="1"/>
      <c r="E48" s="2"/>
      <c r="F48" s="2"/>
      <c r="G48" s="2"/>
      <c r="H48" s="2"/>
      <c r="I48" s="34"/>
      <c r="J48" s="1"/>
      <c r="K48" s="1"/>
      <c r="L48" s="35"/>
      <c r="M48" s="35"/>
      <c r="N48" s="35"/>
      <c r="O48" s="35"/>
      <c r="P48" s="35"/>
      <c r="Q48" s="35"/>
      <c r="R48" s="1"/>
      <c r="S48" s="2"/>
      <c r="T48" s="2"/>
      <c r="U48" s="3"/>
      <c r="V48" s="4"/>
    </row>
    <row r="49" spans="2:22">
      <c r="B49" s="1"/>
      <c r="C49" s="1"/>
      <c r="D49" s="1"/>
      <c r="E49" s="2"/>
      <c r="F49" s="2"/>
      <c r="G49" s="2"/>
      <c r="H49" s="2"/>
      <c r="I49" s="34"/>
      <c r="J49" s="1"/>
      <c r="K49" s="1"/>
      <c r="L49" s="35"/>
      <c r="M49" s="35"/>
      <c r="N49" s="35"/>
      <c r="O49" s="35"/>
      <c r="P49" s="35"/>
      <c r="Q49" s="35"/>
      <c r="R49" s="1"/>
      <c r="S49" s="2"/>
      <c r="T49" s="2"/>
      <c r="U49" s="3"/>
      <c r="V49" s="4"/>
    </row>
    <row r="50" spans="2:22">
      <c r="B50" s="1"/>
      <c r="C50" s="1"/>
      <c r="D50" s="1"/>
      <c r="E50" s="2"/>
      <c r="F50" s="2"/>
      <c r="G50" s="2"/>
      <c r="H50" s="2"/>
      <c r="I50" s="34"/>
      <c r="J50" s="1"/>
      <c r="K50" s="1"/>
      <c r="L50" s="35"/>
      <c r="M50" s="35"/>
      <c r="N50" s="35"/>
      <c r="O50" s="35"/>
      <c r="P50" s="35"/>
      <c r="Q50" s="35"/>
      <c r="R50" s="1"/>
      <c r="S50" s="2"/>
      <c r="T50" s="2"/>
      <c r="U50" s="3"/>
      <c r="V50" s="4"/>
    </row>
    <row r="51" spans="2:22">
      <c r="B51" s="1"/>
      <c r="C51" s="1"/>
      <c r="D51" s="1"/>
      <c r="E51" s="2"/>
      <c r="F51" s="2"/>
      <c r="G51" s="2"/>
      <c r="H51" s="2"/>
      <c r="I51" s="34"/>
      <c r="J51" s="1"/>
      <c r="K51" s="1"/>
      <c r="L51" s="35"/>
      <c r="M51" s="35"/>
      <c r="N51" s="35"/>
      <c r="O51" s="35"/>
      <c r="P51" s="35"/>
      <c r="Q51" s="35"/>
      <c r="R51" s="1"/>
      <c r="S51" s="2"/>
      <c r="T51" s="2"/>
      <c r="U51" s="3"/>
      <c r="V51" s="4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186"/>
  <sheetViews>
    <sheetView workbookViewId="0">
      <selection activeCell="O20" sqref="O20"/>
    </sheetView>
  </sheetViews>
  <sheetFormatPr defaultRowHeight="15"/>
  <cols>
    <col min="1" max="1" width="12.85546875" style="107" bestFit="1" customWidth="1"/>
    <col min="2" max="2" width="3.7109375" style="107" customWidth="1"/>
    <col min="3" max="3" width="8.140625" style="112" bestFit="1" customWidth="1"/>
    <col min="4" max="4" width="9.42578125" style="112" bestFit="1" customWidth="1"/>
  </cols>
  <sheetData>
    <row r="1" spans="1:5">
      <c r="A1" s="7">
        <f>Sheet1!AM1</f>
        <v>0.94944444444444442</v>
      </c>
      <c r="B1" s="102"/>
      <c r="C1" s="108">
        <v>1.3888888888888889E-3</v>
      </c>
      <c r="D1" s="108">
        <v>5.2083333333333333E-4</v>
      </c>
    </row>
    <row r="2" spans="1:5">
      <c r="A2" s="103" t="s">
        <v>37</v>
      </c>
      <c r="B2" s="102"/>
      <c r="C2" s="108">
        <v>0.95138888888888884</v>
      </c>
      <c r="D2" s="109">
        <f>C2+$D$1</f>
        <v>0.95190972222222214</v>
      </c>
      <c r="E2">
        <v>2</v>
      </c>
    </row>
    <row r="3" spans="1:5">
      <c r="A3" s="103" t="s">
        <v>38</v>
      </c>
      <c r="B3" s="102"/>
      <c r="C3" s="110">
        <f>C2+$C$1</f>
        <v>0.95277777777777772</v>
      </c>
      <c r="D3" s="109">
        <f t="shared" ref="D3:D66" si="0">C3+$D$1</f>
        <v>0.95329861111111103</v>
      </c>
      <c r="E3">
        <v>3</v>
      </c>
    </row>
    <row r="4" spans="1:5">
      <c r="A4" s="103" t="s">
        <v>39</v>
      </c>
      <c r="B4" s="102"/>
      <c r="C4" s="110">
        <f t="shared" ref="C4:C67" si="1">C3+$C$1</f>
        <v>0.95416666666666661</v>
      </c>
      <c r="D4" s="109">
        <f t="shared" si="0"/>
        <v>0.95468749999999991</v>
      </c>
      <c r="E4">
        <v>4</v>
      </c>
    </row>
    <row r="5" spans="1:5">
      <c r="A5" s="103" t="s">
        <v>40</v>
      </c>
      <c r="B5" s="102"/>
      <c r="C5" s="110">
        <f t="shared" si="1"/>
        <v>0.95555555555555549</v>
      </c>
      <c r="D5" s="109">
        <f t="shared" si="0"/>
        <v>0.9560763888888888</v>
      </c>
      <c r="E5">
        <v>5</v>
      </c>
    </row>
    <row r="6" spans="1:5">
      <c r="A6" s="103" t="s">
        <v>41</v>
      </c>
      <c r="B6" s="102"/>
      <c r="C6" s="110">
        <f t="shared" si="1"/>
        <v>0.95694444444444438</v>
      </c>
      <c r="D6" s="109">
        <f t="shared" si="0"/>
        <v>0.95746527777777768</v>
      </c>
      <c r="E6">
        <v>6</v>
      </c>
    </row>
    <row r="7" spans="1:5">
      <c r="A7" s="103" t="s">
        <v>42</v>
      </c>
      <c r="B7" s="102"/>
      <c r="C7" s="110">
        <f t="shared" si="1"/>
        <v>0.95833333333333326</v>
      </c>
      <c r="D7" s="109">
        <f t="shared" si="0"/>
        <v>0.95885416666666656</v>
      </c>
      <c r="E7">
        <v>7</v>
      </c>
    </row>
    <row r="8" spans="1:5">
      <c r="A8" s="103" t="s">
        <v>43</v>
      </c>
      <c r="B8" s="102"/>
      <c r="C8" s="110">
        <f t="shared" si="1"/>
        <v>0.95972222222222214</v>
      </c>
      <c r="D8" s="109">
        <f t="shared" si="0"/>
        <v>0.96024305555555545</v>
      </c>
      <c r="E8">
        <v>8</v>
      </c>
    </row>
    <row r="9" spans="1:5">
      <c r="A9" s="103" t="s">
        <v>44</v>
      </c>
      <c r="B9" s="102"/>
      <c r="C9" s="110">
        <f t="shared" si="1"/>
        <v>0.96111111111111103</v>
      </c>
      <c r="D9" s="109">
        <f t="shared" si="0"/>
        <v>0.96163194444444433</v>
      </c>
      <c r="E9">
        <v>9</v>
      </c>
    </row>
    <row r="10" spans="1:5">
      <c r="A10" s="103" t="s">
        <v>45</v>
      </c>
      <c r="B10" s="102"/>
      <c r="C10" s="110">
        <f t="shared" si="1"/>
        <v>0.96249999999999991</v>
      </c>
      <c r="D10" s="109">
        <f t="shared" si="0"/>
        <v>0.96302083333333321</v>
      </c>
      <c r="E10">
        <v>10</v>
      </c>
    </row>
    <row r="11" spans="1:5">
      <c r="A11" s="103" t="s">
        <v>46</v>
      </c>
      <c r="B11" s="102"/>
      <c r="C11" s="110">
        <f t="shared" si="1"/>
        <v>0.9638888888888888</v>
      </c>
      <c r="D11" s="109">
        <f t="shared" si="0"/>
        <v>0.9644097222222221</v>
      </c>
      <c r="E11">
        <v>11</v>
      </c>
    </row>
    <row r="12" spans="1:5">
      <c r="A12" s="103" t="s">
        <v>47</v>
      </c>
      <c r="B12" s="102"/>
      <c r="C12" s="110">
        <f t="shared" si="1"/>
        <v>0.96527777777777768</v>
      </c>
      <c r="D12" s="109">
        <f t="shared" si="0"/>
        <v>0.96579861111111098</v>
      </c>
      <c r="E12">
        <v>12</v>
      </c>
    </row>
    <row r="13" spans="1:5">
      <c r="A13" s="103" t="s">
        <v>48</v>
      </c>
      <c r="B13" s="102"/>
      <c r="C13" s="110">
        <f t="shared" si="1"/>
        <v>0.96666666666666656</v>
      </c>
      <c r="D13" s="109">
        <f t="shared" si="0"/>
        <v>0.96718749999999987</v>
      </c>
      <c r="E13">
        <v>13</v>
      </c>
    </row>
    <row r="14" spans="1:5">
      <c r="A14" s="103" t="s">
        <v>49</v>
      </c>
      <c r="B14" s="102"/>
      <c r="C14" s="110">
        <f t="shared" si="1"/>
        <v>0.96805555555555545</v>
      </c>
      <c r="D14" s="109">
        <f t="shared" si="0"/>
        <v>0.96857638888888875</v>
      </c>
      <c r="E14">
        <v>14</v>
      </c>
    </row>
    <row r="15" spans="1:5">
      <c r="A15" s="103" t="s">
        <v>50</v>
      </c>
      <c r="B15" s="102"/>
      <c r="C15" s="110">
        <f t="shared" si="1"/>
        <v>0.96944444444444433</v>
      </c>
      <c r="D15" s="109">
        <f t="shared" si="0"/>
        <v>0.96996527777777763</v>
      </c>
      <c r="E15">
        <v>15</v>
      </c>
    </row>
    <row r="16" spans="1:5">
      <c r="A16" s="103" t="s">
        <v>51</v>
      </c>
      <c r="B16" s="102"/>
      <c r="C16" s="110">
        <f t="shared" si="1"/>
        <v>0.97083333333333321</v>
      </c>
      <c r="D16" s="109">
        <f t="shared" si="0"/>
        <v>0.97135416666666652</v>
      </c>
      <c r="E16">
        <v>16</v>
      </c>
    </row>
    <row r="17" spans="1:5">
      <c r="A17" s="103" t="s">
        <v>52</v>
      </c>
      <c r="B17" s="102"/>
      <c r="C17" s="110">
        <f t="shared" si="1"/>
        <v>0.9722222222222221</v>
      </c>
      <c r="D17" s="109">
        <f t="shared" si="0"/>
        <v>0.9727430555555554</v>
      </c>
      <c r="E17">
        <v>17</v>
      </c>
    </row>
    <row r="18" spans="1:5">
      <c r="A18" s="103" t="s">
        <v>53</v>
      </c>
      <c r="B18" s="102"/>
      <c r="C18" s="110">
        <f t="shared" si="1"/>
        <v>0.97361111111111098</v>
      </c>
      <c r="D18" s="109">
        <f t="shared" si="0"/>
        <v>0.97413194444444429</v>
      </c>
      <c r="E18">
        <v>18</v>
      </c>
    </row>
    <row r="19" spans="1:5">
      <c r="A19" s="103" t="s">
        <v>54</v>
      </c>
      <c r="B19" s="102"/>
      <c r="C19" s="110">
        <f t="shared" si="1"/>
        <v>0.97499999999999987</v>
      </c>
      <c r="D19" s="109">
        <f t="shared" si="0"/>
        <v>0.97552083333333317</v>
      </c>
      <c r="E19">
        <v>19</v>
      </c>
    </row>
    <row r="20" spans="1:5">
      <c r="A20" s="103" t="s">
        <v>55</v>
      </c>
      <c r="B20" s="102"/>
      <c r="C20" s="110">
        <f t="shared" si="1"/>
        <v>0.97638888888888875</v>
      </c>
      <c r="D20" s="109">
        <f t="shared" si="0"/>
        <v>0.97690972222222205</v>
      </c>
      <c r="E20">
        <v>20</v>
      </c>
    </row>
    <row r="21" spans="1:5">
      <c r="A21" s="103" t="s">
        <v>56</v>
      </c>
      <c r="B21" s="102"/>
      <c r="C21" s="110">
        <f t="shared" si="1"/>
        <v>0.97777777777777763</v>
      </c>
      <c r="D21" s="109">
        <f t="shared" si="0"/>
        <v>0.97829861111111094</v>
      </c>
      <c r="E21">
        <v>21</v>
      </c>
    </row>
    <row r="22" spans="1:5">
      <c r="A22" s="103" t="s">
        <v>57</v>
      </c>
      <c r="B22" s="102"/>
      <c r="C22" s="110">
        <f t="shared" si="1"/>
        <v>0.97916666666666652</v>
      </c>
      <c r="D22" s="109">
        <f t="shared" si="0"/>
        <v>0.97968749999999982</v>
      </c>
      <c r="E22">
        <v>22</v>
      </c>
    </row>
    <row r="23" spans="1:5">
      <c r="A23" s="103" t="s">
        <v>58</v>
      </c>
      <c r="B23" s="102"/>
      <c r="C23" s="110">
        <f t="shared" si="1"/>
        <v>0.9805555555555554</v>
      </c>
      <c r="D23" s="109">
        <f t="shared" si="0"/>
        <v>0.98107638888888871</v>
      </c>
      <c r="E23">
        <v>23</v>
      </c>
    </row>
    <row r="24" spans="1:5">
      <c r="A24" s="103" t="s">
        <v>59</v>
      </c>
      <c r="B24" s="102"/>
      <c r="C24" s="110">
        <f t="shared" si="1"/>
        <v>0.98194444444444429</v>
      </c>
      <c r="D24" s="109">
        <f t="shared" si="0"/>
        <v>0.98246527777777759</v>
      </c>
      <c r="E24">
        <v>24</v>
      </c>
    </row>
    <row r="25" spans="1:5">
      <c r="A25" s="103" t="s">
        <v>60</v>
      </c>
      <c r="B25" s="102"/>
      <c r="C25" s="110">
        <f t="shared" si="1"/>
        <v>0.98333333333333317</v>
      </c>
      <c r="D25" s="109">
        <f t="shared" si="0"/>
        <v>0.98385416666666647</v>
      </c>
      <c r="E25">
        <v>25</v>
      </c>
    </row>
    <row r="26" spans="1:5">
      <c r="A26" s="103" t="s">
        <v>61</v>
      </c>
      <c r="B26" s="102"/>
      <c r="C26" s="110">
        <f t="shared" si="1"/>
        <v>0.98472222222222205</v>
      </c>
      <c r="D26" s="109">
        <f t="shared" si="0"/>
        <v>0.98524305555555536</v>
      </c>
      <c r="E26">
        <v>26</v>
      </c>
    </row>
    <row r="27" spans="1:5">
      <c r="A27" s="103" t="s">
        <v>62</v>
      </c>
      <c r="B27" s="102"/>
      <c r="C27" s="110">
        <f t="shared" si="1"/>
        <v>0.98611111111111094</v>
      </c>
      <c r="D27" s="109">
        <f t="shared" si="0"/>
        <v>0.98663194444444424</v>
      </c>
      <c r="E27">
        <v>27</v>
      </c>
    </row>
    <row r="28" spans="1:5">
      <c r="A28" s="103" t="s">
        <v>63</v>
      </c>
      <c r="B28" s="102"/>
      <c r="C28" s="110">
        <f t="shared" si="1"/>
        <v>0.98749999999999982</v>
      </c>
      <c r="D28" s="109">
        <f t="shared" si="0"/>
        <v>0.98802083333333313</v>
      </c>
      <c r="E28">
        <v>28</v>
      </c>
    </row>
    <row r="29" spans="1:5">
      <c r="A29" s="103" t="s">
        <v>64</v>
      </c>
      <c r="B29" s="102"/>
      <c r="C29" s="110">
        <f t="shared" si="1"/>
        <v>0.98888888888888871</v>
      </c>
      <c r="D29" s="109">
        <f t="shared" si="0"/>
        <v>0.98940972222222201</v>
      </c>
      <c r="E29">
        <v>29</v>
      </c>
    </row>
    <row r="30" spans="1:5">
      <c r="A30" s="103" t="s">
        <v>65</v>
      </c>
      <c r="B30" s="102"/>
      <c r="C30" s="110">
        <f t="shared" si="1"/>
        <v>0.99027777777777759</v>
      </c>
      <c r="D30" s="109">
        <f t="shared" si="0"/>
        <v>0.99079861111111089</v>
      </c>
      <c r="E30">
        <v>30</v>
      </c>
    </row>
    <row r="31" spans="1:5">
      <c r="A31" s="103" t="s">
        <v>66</v>
      </c>
      <c r="B31" s="102"/>
      <c r="C31" s="110">
        <f t="shared" si="1"/>
        <v>0.99166666666666647</v>
      </c>
      <c r="D31" s="109">
        <f t="shared" si="0"/>
        <v>0.99218749999999978</v>
      </c>
      <c r="E31">
        <v>31</v>
      </c>
    </row>
    <row r="32" spans="1:5">
      <c r="A32" s="103" t="s">
        <v>67</v>
      </c>
      <c r="B32" s="102"/>
      <c r="C32" s="110">
        <f t="shared" si="1"/>
        <v>0.99305555555555536</v>
      </c>
      <c r="D32" s="109">
        <f t="shared" si="0"/>
        <v>0.99357638888888866</v>
      </c>
      <c r="E32">
        <v>32</v>
      </c>
    </row>
    <row r="33" spans="1:5">
      <c r="A33" s="103" t="s">
        <v>68</v>
      </c>
      <c r="B33" s="102"/>
      <c r="C33" s="110">
        <f t="shared" si="1"/>
        <v>0.99444444444444424</v>
      </c>
      <c r="D33" s="109">
        <f t="shared" si="0"/>
        <v>0.99496527777777755</v>
      </c>
      <c r="E33">
        <v>33</v>
      </c>
    </row>
    <row r="34" spans="1:5">
      <c r="A34" s="103" t="s">
        <v>69</v>
      </c>
      <c r="B34" s="102"/>
      <c r="C34" s="110">
        <f t="shared" si="1"/>
        <v>0.99583333333333313</v>
      </c>
      <c r="D34" s="109">
        <f t="shared" si="0"/>
        <v>0.99635416666666643</v>
      </c>
      <c r="E34">
        <v>34</v>
      </c>
    </row>
    <row r="35" spans="1:5">
      <c r="A35" s="103" t="s">
        <v>70</v>
      </c>
      <c r="B35" s="102"/>
      <c r="C35" s="110">
        <f t="shared" si="1"/>
        <v>0.99722222222222201</v>
      </c>
      <c r="D35" s="109">
        <f t="shared" si="0"/>
        <v>0.99774305555555531</v>
      </c>
      <c r="E35">
        <v>35</v>
      </c>
    </row>
    <row r="36" spans="1:5">
      <c r="A36" s="103" t="s">
        <v>71</v>
      </c>
      <c r="B36" s="102"/>
      <c r="C36" s="110">
        <f t="shared" si="1"/>
        <v>0.99861111111111089</v>
      </c>
      <c r="D36" s="109">
        <f t="shared" si="0"/>
        <v>0.9991319444444442</v>
      </c>
      <c r="E36">
        <v>36</v>
      </c>
    </row>
    <row r="37" spans="1:5">
      <c r="A37" s="103" t="s">
        <v>72</v>
      </c>
      <c r="B37" s="102"/>
      <c r="C37" s="110">
        <f t="shared" si="1"/>
        <v>0.99999999999999978</v>
      </c>
      <c r="D37" s="109">
        <f t="shared" si="0"/>
        <v>1.0005208333333331</v>
      </c>
      <c r="E37">
        <v>37</v>
      </c>
    </row>
    <row r="38" spans="1:5">
      <c r="A38" s="103" t="s">
        <v>73</v>
      </c>
      <c r="B38" s="102"/>
      <c r="C38" s="110">
        <f t="shared" si="1"/>
        <v>1.0013888888888887</v>
      </c>
      <c r="D38" s="109">
        <f t="shared" si="0"/>
        <v>1.001909722222222</v>
      </c>
      <c r="E38">
        <v>38</v>
      </c>
    </row>
    <row r="39" spans="1:5">
      <c r="A39" s="103" t="s">
        <v>74</v>
      </c>
      <c r="B39" s="102"/>
      <c r="C39" s="110">
        <f t="shared" si="1"/>
        <v>1.0027777777777775</v>
      </c>
      <c r="D39" s="109">
        <f t="shared" si="0"/>
        <v>1.0032986111111108</v>
      </c>
      <c r="E39">
        <v>39</v>
      </c>
    </row>
    <row r="40" spans="1:5">
      <c r="A40" s="103" t="s">
        <v>75</v>
      </c>
      <c r="B40" s="102"/>
      <c r="C40" s="110">
        <f t="shared" si="1"/>
        <v>1.0041666666666664</v>
      </c>
      <c r="D40" s="109">
        <f t="shared" si="0"/>
        <v>1.0046874999999997</v>
      </c>
      <c r="E40">
        <v>40</v>
      </c>
    </row>
    <row r="41" spans="1:5">
      <c r="A41" s="103" t="s">
        <v>76</v>
      </c>
      <c r="B41" s="102"/>
      <c r="C41" s="110">
        <f t="shared" si="1"/>
        <v>1.0055555555555553</v>
      </c>
      <c r="D41" s="109">
        <f t="shared" si="0"/>
        <v>1.0060763888888886</v>
      </c>
      <c r="E41">
        <v>41</v>
      </c>
    </row>
    <row r="42" spans="1:5">
      <c r="A42" s="103" t="s">
        <v>77</v>
      </c>
      <c r="B42" s="102"/>
      <c r="C42" s="110">
        <f t="shared" si="1"/>
        <v>1.0069444444444442</v>
      </c>
      <c r="D42" s="109">
        <f t="shared" si="0"/>
        <v>1.0074652777777775</v>
      </c>
      <c r="E42">
        <v>42</v>
      </c>
    </row>
    <row r="43" spans="1:5">
      <c r="A43" s="103" t="s">
        <v>78</v>
      </c>
      <c r="B43" s="102"/>
      <c r="C43" s="110">
        <f t="shared" si="1"/>
        <v>1.0083333333333331</v>
      </c>
      <c r="D43" s="109">
        <f t="shared" si="0"/>
        <v>1.0088541666666664</v>
      </c>
      <c r="E43">
        <v>43</v>
      </c>
    </row>
    <row r="44" spans="1:5">
      <c r="A44" s="103" t="s">
        <v>79</v>
      </c>
      <c r="B44" s="102"/>
      <c r="C44" s="110">
        <f t="shared" si="1"/>
        <v>1.009722222222222</v>
      </c>
      <c r="D44" s="109">
        <f t="shared" si="0"/>
        <v>1.0102430555555553</v>
      </c>
      <c r="E44">
        <v>44</v>
      </c>
    </row>
    <row r="45" spans="1:5">
      <c r="A45" s="103" t="s">
        <v>80</v>
      </c>
      <c r="B45" s="102"/>
      <c r="C45" s="110">
        <f t="shared" si="1"/>
        <v>1.0111111111111108</v>
      </c>
      <c r="D45" s="109">
        <f t="shared" si="0"/>
        <v>1.0116319444444442</v>
      </c>
      <c r="E45">
        <v>45</v>
      </c>
    </row>
    <row r="46" spans="1:5">
      <c r="A46" s="103" t="s">
        <v>81</v>
      </c>
      <c r="B46" s="102"/>
      <c r="C46" s="110">
        <f t="shared" si="1"/>
        <v>1.0124999999999997</v>
      </c>
      <c r="D46" s="109">
        <f t="shared" si="0"/>
        <v>1.013020833333333</v>
      </c>
      <c r="E46">
        <v>46</v>
      </c>
    </row>
    <row r="47" spans="1:5">
      <c r="A47" s="103" t="s">
        <v>82</v>
      </c>
      <c r="B47" s="102"/>
      <c r="C47" s="110">
        <f t="shared" si="1"/>
        <v>1.0138888888888886</v>
      </c>
      <c r="D47" s="109">
        <f t="shared" si="0"/>
        <v>1.0144097222222219</v>
      </c>
      <c r="E47">
        <v>47</v>
      </c>
    </row>
    <row r="48" spans="1:5">
      <c r="A48" s="103" t="s">
        <v>83</v>
      </c>
      <c r="B48" s="102"/>
      <c r="C48" s="110">
        <f t="shared" si="1"/>
        <v>1.0152777777777775</v>
      </c>
      <c r="D48" s="109">
        <f t="shared" si="0"/>
        <v>1.0157986111111108</v>
      </c>
      <c r="E48">
        <v>48</v>
      </c>
    </row>
    <row r="49" spans="1:5">
      <c r="A49" s="103" t="s">
        <v>84</v>
      </c>
      <c r="B49" s="102"/>
      <c r="C49" s="110">
        <f t="shared" si="1"/>
        <v>1.0166666666666664</v>
      </c>
      <c r="D49" s="109">
        <f t="shared" si="0"/>
        <v>1.0171874999999997</v>
      </c>
      <c r="E49">
        <v>49</v>
      </c>
    </row>
    <row r="50" spans="1:5">
      <c r="A50" s="103" t="s">
        <v>85</v>
      </c>
      <c r="B50" s="102"/>
      <c r="C50" s="110">
        <f t="shared" si="1"/>
        <v>1.0180555555555553</v>
      </c>
      <c r="D50" s="109">
        <f t="shared" si="0"/>
        <v>1.0185763888888886</v>
      </c>
      <c r="E50">
        <v>50</v>
      </c>
    </row>
    <row r="51" spans="1:5">
      <c r="A51" s="103" t="s">
        <v>86</v>
      </c>
      <c r="B51" s="102"/>
      <c r="C51" s="110">
        <f t="shared" si="1"/>
        <v>1.0194444444444442</v>
      </c>
      <c r="D51" s="109">
        <f t="shared" si="0"/>
        <v>1.0199652777777775</v>
      </c>
      <c r="E51">
        <v>51</v>
      </c>
    </row>
    <row r="52" spans="1:5">
      <c r="A52" s="103" t="s">
        <v>87</v>
      </c>
      <c r="B52" s="102"/>
      <c r="C52" s="110">
        <f t="shared" si="1"/>
        <v>1.020833333333333</v>
      </c>
      <c r="D52" s="109">
        <f t="shared" si="0"/>
        <v>1.0213541666666663</v>
      </c>
      <c r="E52">
        <v>52</v>
      </c>
    </row>
    <row r="53" spans="1:5">
      <c r="A53" s="103" t="s">
        <v>88</v>
      </c>
      <c r="B53" s="102"/>
      <c r="C53" s="110">
        <f t="shared" si="1"/>
        <v>1.0222222222222219</v>
      </c>
      <c r="D53" s="109">
        <f t="shared" si="0"/>
        <v>1.0227430555555552</v>
      </c>
      <c r="E53">
        <v>53</v>
      </c>
    </row>
    <row r="54" spans="1:5">
      <c r="A54" s="103" t="s">
        <v>89</v>
      </c>
      <c r="B54" s="102"/>
      <c r="C54" s="110">
        <f t="shared" si="1"/>
        <v>1.0236111111111108</v>
      </c>
      <c r="D54" s="109">
        <f t="shared" si="0"/>
        <v>1.0241319444444441</v>
      </c>
      <c r="E54">
        <v>54</v>
      </c>
    </row>
    <row r="55" spans="1:5">
      <c r="A55" s="103" t="s">
        <v>90</v>
      </c>
      <c r="B55" s="102"/>
      <c r="C55" s="110">
        <f t="shared" si="1"/>
        <v>1.0249999999999997</v>
      </c>
      <c r="D55" s="109">
        <f t="shared" si="0"/>
        <v>1.025520833333333</v>
      </c>
      <c r="E55">
        <v>55</v>
      </c>
    </row>
    <row r="56" spans="1:5">
      <c r="A56" s="103" t="s">
        <v>91</v>
      </c>
      <c r="B56" s="102"/>
      <c r="C56" s="110">
        <f t="shared" si="1"/>
        <v>1.0263888888888886</v>
      </c>
      <c r="D56" s="109">
        <f t="shared" si="0"/>
        <v>1.0269097222222219</v>
      </c>
      <c r="E56">
        <v>56</v>
      </c>
    </row>
    <row r="57" spans="1:5">
      <c r="A57" s="103" t="s">
        <v>92</v>
      </c>
      <c r="B57" s="102"/>
      <c r="C57" s="110">
        <f t="shared" si="1"/>
        <v>1.0277777777777775</v>
      </c>
      <c r="D57" s="109">
        <f t="shared" si="0"/>
        <v>1.0282986111111108</v>
      </c>
      <c r="E57">
        <v>57</v>
      </c>
    </row>
    <row r="58" spans="1:5">
      <c r="A58" s="103" t="s">
        <v>93</v>
      </c>
      <c r="B58" s="102"/>
      <c r="C58" s="110">
        <f t="shared" si="1"/>
        <v>1.0291666666666663</v>
      </c>
      <c r="D58" s="109">
        <f t="shared" si="0"/>
        <v>1.0296874999999996</v>
      </c>
      <c r="E58">
        <v>58</v>
      </c>
    </row>
    <row r="59" spans="1:5">
      <c r="A59" s="103" t="s">
        <v>94</v>
      </c>
      <c r="B59" s="102"/>
      <c r="C59" s="110">
        <f t="shared" si="1"/>
        <v>1.0305555555555552</v>
      </c>
      <c r="D59" s="109">
        <f t="shared" si="0"/>
        <v>1.0310763888888885</v>
      </c>
      <c r="E59">
        <v>59</v>
      </c>
    </row>
    <row r="60" spans="1:5">
      <c r="A60" s="103" t="s">
        <v>95</v>
      </c>
      <c r="B60" s="102"/>
      <c r="C60" s="110">
        <f t="shared" si="1"/>
        <v>1.0319444444444441</v>
      </c>
      <c r="D60" s="109">
        <f t="shared" si="0"/>
        <v>1.0324652777777774</v>
      </c>
      <c r="E60">
        <v>60</v>
      </c>
    </row>
    <row r="61" spans="1:5">
      <c r="A61" s="103" t="s">
        <v>96</v>
      </c>
      <c r="B61" s="102"/>
      <c r="C61" s="110">
        <f t="shared" si="1"/>
        <v>1.033333333333333</v>
      </c>
      <c r="D61" s="109">
        <f t="shared" si="0"/>
        <v>1.0338541666666663</v>
      </c>
      <c r="E61">
        <v>61</v>
      </c>
    </row>
    <row r="62" spans="1:5">
      <c r="A62" s="103" t="s">
        <v>97</v>
      </c>
      <c r="B62" s="102"/>
      <c r="C62" s="110">
        <f t="shared" si="1"/>
        <v>1.0347222222222219</v>
      </c>
      <c r="D62" s="109">
        <f t="shared" si="0"/>
        <v>1.0352430555555552</v>
      </c>
      <c r="E62">
        <v>62</v>
      </c>
    </row>
    <row r="63" spans="1:5">
      <c r="A63" s="103" t="s">
        <v>98</v>
      </c>
      <c r="B63" s="102"/>
      <c r="C63" s="110">
        <f t="shared" si="1"/>
        <v>1.0361111111111108</v>
      </c>
      <c r="D63" s="109">
        <f t="shared" si="0"/>
        <v>1.0366319444444441</v>
      </c>
      <c r="E63">
        <v>63</v>
      </c>
    </row>
    <row r="64" spans="1:5">
      <c r="A64" s="103" t="s">
        <v>99</v>
      </c>
      <c r="B64" s="102"/>
      <c r="C64" s="110">
        <f t="shared" si="1"/>
        <v>1.0374999999999996</v>
      </c>
      <c r="D64" s="109">
        <f t="shared" si="0"/>
        <v>1.0380208333333329</v>
      </c>
      <c r="E64">
        <v>64</v>
      </c>
    </row>
    <row r="65" spans="1:5">
      <c r="A65" s="103" t="s">
        <v>100</v>
      </c>
      <c r="B65" s="102"/>
      <c r="C65" s="110">
        <f t="shared" si="1"/>
        <v>1.0388888888888885</v>
      </c>
      <c r="D65" s="109">
        <f t="shared" si="0"/>
        <v>1.0394097222222218</v>
      </c>
      <c r="E65">
        <v>65</v>
      </c>
    </row>
    <row r="66" spans="1:5">
      <c r="A66" s="103" t="s">
        <v>101</v>
      </c>
      <c r="B66" s="102"/>
      <c r="C66" s="110">
        <f t="shared" si="1"/>
        <v>1.0402777777777774</v>
      </c>
      <c r="D66" s="109">
        <f t="shared" si="0"/>
        <v>1.0407986111111107</v>
      </c>
      <c r="E66">
        <v>66</v>
      </c>
    </row>
    <row r="67" spans="1:5">
      <c r="A67" s="103" t="s">
        <v>102</v>
      </c>
      <c r="B67" s="102"/>
      <c r="C67" s="110">
        <f t="shared" si="1"/>
        <v>1.0416666666666663</v>
      </c>
      <c r="D67" s="109">
        <f t="shared" ref="D67:D100" si="2">C67+$D$1</f>
        <v>1.0421874999999996</v>
      </c>
      <c r="E67">
        <v>67</v>
      </c>
    </row>
    <row r="68" spans="1:5">
      <c r="A68" s="103" t="s">
        <v>103</v>
      </c>
      <c r="B68" s="102"/>
      <c r="C68" s="110">
        <f t="shared" ref="C68:C100" si="3">C67+$C$1</f>
        <v>1.0430555555555552</v>
      </c>
      <c r="D68" s="109">
        <f t="shared" si="2"/>
        <v>1.0435763888888885</v>
      </c>
      <c r="E68">
        <v>68</v>
      </c>
    </row>
    <row r="69" spans="1:5">
      <c r="A69" s="103" t="s">
        <v>104</v>
      </c>
      <c r="B69" s="102"/>
      <c r="C69" s="110">
        <f t="shared" si="3"/>
        <v>1.0444444444444441</v>
      </c>
      <c r="D69" s="109">
        <f t="shared" si="2"/>
        <v>1.0449652777777774</v>
      </c>
      <c r="E69">
        <v>69</v>
      </c>
    </row>
    <row r="70" spans="1:5">
      <c r="A70" s="103" t="s">
        <v>105</v>
      </c>
      <c r="B70" s="102"/>
      <c r="C70" s="110">
        <f t="shared" si="3"/>
        <v>1.0458333333333329</v>
      </c>
      <c r="D70" s="109">
        <f t="shared" si="2"/>
        <v>1.0463541666666663</v>
      </c>
      <c r="E70">
        <v>70</v>
      </c>
    </row>
    <row r="71" spans="1:5">
      <c r="A71" s="103" t="s">
        <v>106</v>
      </c>
      <c r="B71" s="102"/>
      <c r="C71" s="110">
        <f t="shared" si="3"/>
        <v>1.0472222222222218</v>
      </c>
      <c r="D71" s="109">
        <f t="shared" si="2"/>
        <v>1.0477430555555551</v>
      </c>
      <c r="E71">
        <v>71</v>
      </c>
    </row>
    <row r="72" spans="1:5">
      <c r="A72" s="103" t="s">
        <v>107</v>
      </c>
      <c r="B72" s="102"/>
      <c r="C72" s="110">
        <f t="shared" si="3"/>
        <v>1.0486111111111107</v>
      </c>
      <c r="D72" s="109">
        <f t="shared" si="2"/>
        <v>1.049131944444444</v>
      </c>
      <c r="E72">
        <v>72</v>
      </c>
    </row>
    <row r="73" spans="1:5">
      <c r="A73" s="103" t="s">
        <v>108</v>
      </c>
      <c r="B73" s="102"/>
      <c r="C73" s="110">
        <f t="shared" si="3"/>
        <v>1.0499999999999996</v>
      </c>
      <c r="D73" s="109">
        <f t="shared" si="2"/>
        <v>1.0505208333333329</v>
      </c>
      <c r="E73">
        <v>73</v>
      </c>
    </row>
    <row r="74" spans="1:5">
      <c r="A74" s="103" t="s">
        <v>109</v>
      </c>
      <c r="B74" s="102"/>
      <c r="C74" s="110">
        <f t="shared" si="3"/>
        <v>1.0513888888888885</v>
      </c>
      <c r="D74" s="109">
        <f t="shared" si="2"/>
        <v>1.0519097222222218</v>
      </c>
      <c r="E74">
        <v>74</v>
      </c>
    </row>
    <row r="75" spans="1:5">
      <c r="A75" s="103" t="s">
        <v>110</v>
      </c>
      <c r="B75" s="102"/>
      <c r="C75" s="110">
        <f t="shared" si="3"/>
        <v>1.0527777777777774</v>
      </c>
      <c r="D75" s="109">
        <f t="shared" si="2"/>
        <v>1.0532986111111107</v>
      </c>
      <c r="E75">
        <v>75</v>
      </c>
    </row>
    <row r="76" spans="1:5">
      <c r="A76" s="103" t="s">
        <v>111</v>
      </c>
      <c r="B76" s="102"/>
      <c r="C76" s="110">
        <f t="shared" si="3"/>
        <v>1.0541666666666663</v>
      </c>
      <c r="D76" s="109">
        <f t="shared" si="2"/>
        <v>1.0546874999999996</v>
      </c>
      <c r="E76">
        <v>76</v>
      </c>
    </row>
    <row r="77" spans="1:5">
      <c r="A77" s="103" t="s">
        <v>112</v>
      </c>
      <c r="B77" s="102"/>
      <c r="C77" s="110">
        <f t="shared" si="3"/>
        <v>1.0555555555555551</v>
      </c>
      <c r="D77" s="109">
        <f t="shared" si="2"/>
        <v>1.0560763888888884</v>
      </c>
      <c r="E77">
        <v>77</v>
      </c>
    </row>
    <row r="78" spans="1:5">
      <c r="A78" s="103" t="s">
        <v>113</v>
      </c>
      <c r="B78" s="102"/>
      <c r="C78" s="110">
        <f t="shared" si="3"/>
        <v>1.056944444444444</v>
      </c>
      <c r="D78" s="109">
        <f t="shared" si="2"/>
        <v>1.0574652777777773</v>
      </c>
      <c r="E78">
        <v>78</v>
      </c>
    </row>
    <row r="79" spans="1:5">
      <c r="A79" s="103" t="s">
        <v>114</v>
      </c>
      <c r="B79" s="102"/>
      <c r="C79" s="110">
        <f t="shared" si="3"/>
        <v>1.0583333333333329</v>
      </c>
      <c r="D79" s="109">
        <f t="shared" si="2"/>
        <v>1.0588541666666662</v>
      </c>
      <c r="E79">
        <v>79</v>
      </c>
    </row>
    <row r="80" spans="1:5">
      <c r="A80" s="103" t="s">
        <v>115</v>
      </c>
      <c r="B80" s="102"/>
      <c r="C80" s="110">
        <f t="shared" si="3"/>
        <v>1.0597222222222218</v>
      </c>
      <c r="D80" s="109">
        <f t="shared" si="2"/>
        <v>1.0602430555555551</v>
      </c>
      <c r="E80">
        <v>80</v>
      </c>
    </row>
    <row r="81" spans="1:5">
      <c r="A81" s="103" t="s">
        <v>116</v>
      </c>
      <c r="B81" s="102"/>
      <c r="C81" s="110">
        <f t="shared" si="3"/>
        <v>1.0611111111111107</v>
      </c>
      <c r="D81" s="109">
        <f t="shared" si="2"/>
        <v>1.061631944444444</v>
      </c>
      <c r="E81">
        <v>81</v>
      </c>
    </row>
    <row r="82" spans="1:5">
      <c r="A82" s="103" t="s">
        <v>117</v>
      </c>
      <c r="B82" s="102"/>
      <c r="C82" s="110">
        <f t="shared" si="3"/>
        <v>1.0624999999999996</v>
      </c>
      <c r="D82" s="109">
        <f t="shared" si="2"/>
        <v>1.0630208333333329</v>
      </c>
      <c r="E82">
        <v>82</v>
      </c>
    </row>
    <row r="83" spans="1:5">
      <c r="A83" s="103" t="s">
        <v>118</v>
      </c>
      <c r="B83" s="102"/>
      <c r="C83" s="110">
        <f t="shared" si="3"/>
        <v>1.0638888888888884</v>
      </c>
      <c r="D83" s="109">
        <f t="shared" si="2"/>
        <v>1.0644097222222217</v>
      </c>
      <c r="E83">
        <v>83</v>
      </c>
    </row>
    <row r="84" spans="1:5">
      <c r="A84" s="103" t="s">
        <v>119</v>
      </c>
      <c r="B84" s="102"/>
      <c r="C84" s="110">
        <f t="shared" si="3"/>
        <v>1.0652777777777773</v>
      </c>
      <c r="D84" s="109">
        <f t="shared" si="2"/>
        <v>1.0657986111111106</v>
      </c>
      <c r="E84">
        <v>84</v>
      </c>
    </row>
    <row r="85" spans="1:5">
      <c r="A85" s="103" t="s">
        <v>120</v>
      </c>
      <c r="B85" s="102"/>
      <c r="C85" s="110">
        <f t="shared" si="3"/>
        <v>1.0666666666666662</v>
      </c>
      <c r="D85" s="109">
        <f t="shared" si="2"/>
        <v>1.0671874999999995</v>
      </c>
      <c r="E85">
        <v>85</v>
      </c>
    </row>
    <row r="86" spans="1:5">
      <c r="A86" s="103" t="s">
        <v>121</v>
      </c>
      <c r="B86" s="102"/>
      <c r="C86" s="110">
        <f t="shared" si="3"/>
        <v>1.0680555555555551</v>
      </c>
      <c r="D86" s="109">
        <f t="shared" si="2"/>
        <v>1.0685763888888884</v>
      </c>
      <c r="E86">
        <v>86</v>
      </c>
    </row>
    <row r="87" spans="1:5">
      <c r="A87" s="103" t="s">
        <v>122</v>
      </c>
      <c r="B87" s="102"/>
      <c r="C87" s="110">
        <f t="shared" si="3"/>
        <v>1.069444444444444</v>
      </c>
      <c r="D87" s="109">
        <f t="shared" si="2"/>
        <v>1.0699652777777773</v>
      </c>
      <c r="E87">
        <v>87</v>
      </c>
    </row>
    <row r="88" spans="1:5">
      <c r="A88" s="103" t="s">
        <v>123</v>
      </c>
      <c r="B88" s="102"/>
      <c r="C88" s="110">
        <f t="shared" si="3"/>
        <v>1.0708333333333329</v>
      </c>
      <c r="D88" s="109">
        <f t="shared" si="2"/>
        <v>1.0713541666666662</v>
      </c>
      <c r="E88">
        <v>88</v>
      </c>
    </row>
    <row r="89" spans="1:5">
      <c r="A89" s="103" t="s">
        <v>124</v>
      </c>
      <c r="B89" s="102"/>
      <c r="C89" s="110">
        <f t="shared" si="3"/>
        <v>1.0722222222222217</v>
      </c>
      <c r="D89" s="109">
        <f t="shared" si="2"/>
        <v>1.072743055555555</v>
      </c>
      <c r="E89">
        <v>89</v>
      </c>
    </row>
    <row r="90" spans="1:5">
      <c r="A90" s="103" t="s">
        <v>125</v>
      </c>
      <c r="B90" s="102"/>
      <c r="C90" s="110">
        <f t="shared" si="3"/>
        <v>1.0736111111111106</v>
      </c>
      <c r="D90" s="109">
        <f t="shared" si="2"/>
        <v>1.0741319444444439</v>
      </c>
      <c r="E90">
        <v>90</v>
      </c>
    </row>
    <row r="91" spans="1:5">
      <c r="A91" s="103" t="s">
        <v>126</v>
      </c>
      <c r="B91" s="102"/>
      <c r="C91" s="110">
        <f t="shared" si="3"/>
        <v>1.0749999999999995</v>
      </c>
      <c r="D91" s="109">
        <f t="shared" si="2"/>
        <v>1.0755208333333328</v>
      </c>
      <c r="E91">
        <v>91</v>
      </c>
    </row>
    <row r="92" spans="1:5">
      <c r="A92" s="103" t="s">
        <v>127</v>
      </c>
      <c r="B92" s="102"/>
      <c r="C92" s="110">
        <f t="shared" si="3"/>
        <v>1.0763888888888884</v>
      </c>
      <c r="D92" s="109">
        <f t="shared" si="2"/>
        <v>1.0769097222222217</v>
      </c>
      <c r="E92">
        <v>92</v>
      </c>
    </row>
    <row r="93" spans="1:5">
      <c r="A93" s="103" t="s">
        <v>128</v>
      </c>
      <c r="B93" s="102"/>
      <c r="C93" s="110">
        <f t="shared" si="3"/>
        <v>1.0777777777777773</v>
      </c>
      <c r="D93" s="109">
        <f t="shared" si="2"/>
        <v>1.0782986111111106</v>
      </c>
      <c r="E93">
        <v>93</v>
      </c>
    </row>
    <row r="94" spans="1:5">
      <c r="A94" s="103" t="s">
        <v>129</v>
      </c>
      <c r="B94" s="102"/>
      <c r="C94" s="110">
        <f t="shared" si="3"/>
        <v>1.0791666666666662</v>
      </c>
      <c r="D94" s="109">
        <f t="shared" si="2"/>
        <v>1.0796874999999995</v>
      </c>
      <c r="E94">
        <v>94</v>
      </c>
    </row>
    <row r="95" spans="1:5">
      <c r="A95" s="103" t="s">
        <v>130</v>
      </c>
      <c r="B95" s="102"/>
      <c r="C95" s="110">
        <f t="shared" si="3"/>
        <v>1.080555555555555</v>
      </c>
      <c r="D95" s="109">
        <f t="shared" si="2"/>
        <v>1.0810763888888884</v>
      </c>
      <c r="E95">
        <v>95</v>
      </c>
    </row>
    <row r="96" spans="1:5">
      <c r="A96" s="103" t="s">
        <v>131</v>
      </c>
      <c r="B96" s="102"/>
      <c r="C96" s="110">
        <f t="shared" si="3"/>
        <v>1.0819444444444439</v>
      </c>
      <c r="D96" s="109">
        <f t="shared" si="2"/>
        <v>1.0824652777777772</v>
      </c>
      <c r="E96">
        <v>96</v>
      </c>
    </row>
    <row r="97" spans="1:5">
      <c r="A97" s="103" t="s">
        <v>132</v>
      </c>
      <c r="B97" s="102"/>
      <c r="C97" s="110">
        <f t="shared" si="3"/>
        <v>1.0833333333333328</v>
      </c>
      <c r="D97" s="109">
        <f t="shared" si="2"/>
        <v>1.0838541666666661</v>
      </c>
      <c r="E97">
        <v>97</v>
      </c>
    </row>
    <row r="98" spans="1:5">
      <c r="A98" s="103" t="s">
        <v>133</v>
      </c>
      <c r="B98" s="102"/>
      <c r="C98" s="110">
        <f t="shared" si="3"/>
        <v>1.0847222222222217</v>
      </c>
      <c r="D98" s="109">
        <f t="shared" si="2"/>
        <v>1.085243055555555</v>
      </c>
      <c r="E98">
        <v>98</v>
      </c>
    </row>
    <row r="99" spans="1:5">
      <c r="A99" s="103" t="s">
        <v>134</v>
      </c>
      <c r="B99" s="102"/>
      <c r="C99" s="110">
        <f t="shared" si="3"/>
        <v>1.0861111111111106</v>
      </c>
      <c r="D99" s="109">
        <f t="shared" si="2"/>
        <v>1.0866319444444439</v>
      </c>
      <c r="E99">
        <v>99</v>
      </c>
    </row>
    <row r="100" spans="1:5">
      <c r="A100" s="103" t="s">
        <v>135</v>
      </c>
      <c r="B100" s="102"/>
      <c r="C100" s="110">
        <f t="shared" si="3"/>
        <v>1.0874999999999995</v>
      </c>
      <c r="D100" s="109">
        <f t="shared" si="2"/>
        <v>1.0880208333333328</v>
      </c>
      <c r="E100">
        <v>100</v>
      </c>
    </row>
    <row r="101" spans="1:5">
      <c r="A101" s="104" t="s">
        <v>136</v>
      </c>
      <c r="B101" s="104"/>
      <c r="C101" s="111"/>
      <c r="D101" s="110"/>
    </row>
    <row r="102" spans="1:5">
      <c r="A102" s="104" t="s">
        <v>137</v>
      </c>
      <c r="B102" s="104"/>
      <c r="C102" s="111"/>
      <c r="D102" s="110"/>
    </row>
    <row r="103" spans="1:5">
      <c r="A103" s="104" t="s">
        <v>138</v>
      </c>
      <c r="B103" s="104"/>
      <c r="C103" s="111"/>
      <c r="D103" s="110"/>
    </row>
    <row r="104" spans="1:5">
      <c r="A104" s="104" t="s">
        <v>139</v>
      </c>
      <c r="B104" s="104"/>
      <c r="C104" s="111"/>
      <c r="D104" s="110"/>
    </row>
    <row r="105" spans="1:5">
      <c r="A105" s="104" t="s">
        <v>140</v>
      </c>
      <c r="B105" s="104"/>
      <c r="C105" s="111"/>
      <c r="D105" s="110"/>
    </row>
    <row r="106" spans="1:5">
      <c r="A106" s="104" t="s">
        <v>141</v>
      </c>
      <c r="B106" s="104"/>
      <c r="C106" s="111"/>
      <c r="D106" s="110"/>
    </row>
    <row r="107" spans="1:5">
      <c r="A107" s="104" t="s">
        <v>142</v>
      </c>
      <c r="B107" s="104"/>
      <c r="C107" s="111"/>
      <c r="D107" s="110"/>
    </row>
    <row r="108" spans="1:5">
      <c r="A108" s="104" t="s">
        <v>143</v>
      </c>
      <c r="B108" s="104"/>
      <c r="C108" s="111"/>
      <c r="D108" s="110"/>
    </row>
    <row r="109" spans="1:5">
      <c r="A109" s="104" t="s">
        <v>144</v>
      </c>
      <c r="B109" s="104"/>
      <c r="C109" s="111"/>
      <c r="D109" s="110"/>
    </row>
    <row r="110" spans="1:5">
      <c r="A110" s="104" t="s">
        <v>145</v>
      </c>
      <c r="B110" s="104"/>
      <c r="C110" s="111"/>
      <c r="D110" s="110"/>
    </row>
    <row r="111" spans="1:5">
      <c r="A111" s="104" t="s">
        <v>146</v>
      </c>
      <c r="B111" s="104"/>
      <c r="C111" s="111"/>
      <c r="D111" s="110"/>
    </row>
    <row r="112" spans="1:5">
      <c r="A112" s="104" t="s">
        <v>147</v>
      </c>
      <c r="B112" s="104"/>
      <c r="C112" s="111"/>
      <c r="D112" s="110"/>
    </row>
    <row r="113" spans="1:4">
      <c r="A113" s="104" t="s">
        <v>148</v>
      </c>
      <c r="B113" s="104"/>
      <c r="C113" s="111"/>
      <c r="D113" s="110"/>
    </row>
    <row r="114" spans="1:4">
      <c r="A114" s="104" t="s">
        <v>149</v>
      </c>
      <c r="B114" s="104"/>
      <c r="C114" s="111"/>
      <c r="D114" s="110"/>
    </row>
    <row r="115" spans="1:4">
      <c r="A115" s="104" t="s">
        <v>150</v>
      </c>
      <c r="B115" s="104"/>
      <c r="C115" s="111"/>
      <c r="D115" s="110"/>
    </row>
    <row r="116" spans="1:4">
      <c r="A116" s="104" t="s">
        <v>151</v>
      </c>
      <c r="B116" s="104"/>
      <c r="C116" s="111"/>
      <c r="D116" s="110"/>
    </row>
    <row r="117" spans="1:4">
      <c r="A117" s="104" t="s">
        <v>152</v>
      </c>
      <c r="B117" s="104"/>
      <c r="C117" s="111"/>
      <c r="D117" s="110"/>
    </row>
    <row r="118" spans="1:4">
      <c r="A118" s="104" t="s">
        <v>153</v>
      </c>
      <c r="B118" s="104"/>
      <c r="C118" s="111"/>
      <c r="D118" s="110"/>
    </row>
    <row r="119" spans="1:4">
      <c r="A119" s="104" t="s">
        <v>154</v>
      </c>
      <c r="B119" s="104"/>
      <c r="C119" s="111"/>
      <c r="D119" s="110"/>
    </row>
    <row r="120" spans="1:4">
      <c r="A120" s="104" t="s">
        <v>155</v>
      </c>
      <c r="B120" s="104"/>
      <c r="C120" s="111"/>
      <c r="D120" s="110"/>
    </row>
    <row r="121" spans="1:4">
      <c r="A121" s="104" t="s">
        <v>156</v>
      </c>
      <c r="B121" s="104"/>
      <c r="C121" s="111"/>
      <c r="D121" s="110"/>
    </row>
    <row r="122" spans="1:4">
      <c r="A122" s="104" t="s">
        <v>157</v>
      </c>
      <c r="B122" s="104"/>
      <c r="C122" s="111"/>
      <c r="D122" s="110"/>
    </row>
    <row r="123" spans="1:4">
      <c r="A123" s="104" t="s">
        <v>158</v>
      </c>
      <c r="B123" s="104"/>
      <c r="C123" s="111"/>
      <c r="D123" s="110"/>
    </row>
    <row r="124" spans="1:4">
      <c r="A124" s="104" t="s">
        <v>159</v>
      </c>
      <c r="B124" s="104"/>
      <c r="C124" s="111"/>
      <c r="D124" s="110"/>
    </row>
    <row r="125" spans="1:4">
      <c r="A125" s="104" t="s">
        <v>160</v>
      </c>
      <c r="B125" s="104"/>
      <c r="C125" s="111"/>
      <c r="D125" s="110"/>
    </row>
    <row r="126" spans="1:4">
      <c r="A126" s="104" t="s">
        <v>161</v>
      </c>
      <c r="B126" s="104"/>
      <c r="C126" s="111"/>
      <c r="D126" s="110"/>
    </row>
    <row r="127" spans="1:4">
      <c r="A127" s="104" t="s">
        <v>162</v>
      </c>
      <c r="B127" s="104"/>
      <c r="C127" s="111"/>
      <c r="D127" s="110"/>
    </row>
    <row r="128" spans="1:4">
      <c r="A128" s="104" t="s">
        <v>163</v>
      </c>
      <c r="B128" s="104"/>
      <c r="C128" s="111"/>
      <c r="D128" s="110"/>
    </row>
    <row r="129" spans="1:4">
      <c r="A129" s="104" t="s">
        <v>164</v>
      </c>
      <c r="B129" s="105"/>
      <c r="C129" s="110"/>
      <c r="D129" s="110"/>
    </row>
    <row r="130" spans="1:4">
      <c r="A130" s="104" t="s">
        <v>165</v>
      </c>
      <c r="B130" s="105"/>
      <c r="C130" s="110"/>
      <c r="D130" s="110"/>
    </row>
    <row r="131" spans="1:4">
      <c r="A131" s="104" t="s">
        <v>166</v>
      </c>
      <c r="B131" s="105"/>
      <c r="C131" s="110"/>
      <c r="D131" s="110"/>
    </row>
    <row r="132" spans="1:4">
      <c r="A132" s="105"/>
      <c r="B132" s="105"/>
      <c r="C132" s="110"/>
      <c r="D132" s="110"/>
    </row>
    <row r="133" spans="1:4">
      <c r="A133" s="105"/>
      <c r="B133" s="105"/>
      <c r="C133" s="110"/>
      <c r="D133" s="110"/>
    </row>
    <row r="134" spans="1:4">
      <c r="A134" s="105"/>
      <c r="B134" s="105"/>
      <c r="C134" s="110"/>
      <c r="D134" s="110"/>
    </row>
    <row r="135" spans="1:4">
      <c r="A135" s="105"/>
      <c r="B135" s="105"/>
      <c r="C135" s="110"/>
      <c r="D135" s="110"/>
    </row>
    <row r="136" spans="1:4">
      <c r="A136" s="105"/>
      <c r="B136" s="105"/>
      <c r="C136" s="110"/>
      <c r="D136" s="110"/>
    </row>
    <row r="137" spans="1:4">
      <c r="A137" s="105"/>
      <c r="B137" s="105"/>
      <c r="C137" s="110"/>
      <c r="D137" s="110"/>
    </row>
    <row r="138" spans="1:4">
      <c r="A138" s="105"/>
      <c r="B138" s="105"/>
      <c r="C138" s="110"/>
      <c r="D138" s="110"/>
    </row>
    <row r="139" spans="1:4">
      <c r="A139" s="105"/>
      <c r="B139" s="105"/>
      <c r="C139" s="110"/>
      <c r="D139" s="110"/>
    </row>
    <row r="140" spans="1:4">
      <c r="A140" s="105"/>
      <c r="B140" s="105"/>
      <c r="C140" s="110"/>
      <c r="D140" s="110"/>
    </row>
    <row r="141" spans="1:4">
      <c r="A141" s="105"/>
      <c r="B141" s="105"/>
      <c r="C141" s="110"/>
      <c r="D141" s="110"/>
    </row>
    <row r="142" spans="1:4">
      <c r="A142" s="105"/>
      <c r="B142" s="105"/>
      <c r="C142" s="110"/>
      <c r="D142" s="110"/>
    </row>
    <row r="143" spans="1:4">
      <c r="A143" s="105"/>
      <c r="B143" s="105"/>
      <c r="C143" s="110"/>
      <c r="D143" s="110"/>
    </row>
    <row r="144" spans="1:4">
      <c r="A144" s="105"/>
      <c r="B144" s="105"/>
      <c r="C144" s="110"/>
      <c r="D144" s="110"/>
    </row>
    <row r="145" spans="1:4">
      <c r="A145" s="105"/>
      <c r="B145" s="105"/>
      <c r="C145" s="110"/>
      <c r="D145" s="110"/>
    </row>
    <row r="146" spans="1:4">
      <c r="A146" s="105"/>
      <c r="B146" s="105"/>
      <c r="C146" s="110"/>
      <c r="D146" s="110"/>
    </row>
    <row r="147" spans="1:4">
      <c r="A147" s="105"/>
      <c r="B147" s="105"/>
      <c r="C147" s="110"/>
      <c r="D147" s="110"/>
    </row>
    <row r="148" spans="1:4">
      <c r="A148" s="105"/>
      <c r="B148" s="105"/>
      <c r="C148" s="110"/>
      <c r="D148" s="110"/>
    </row>
    <row r="149" spans="1:4">
      <c r="A149" s="105"/>
      <c r="B149" s="105"/>
      <c r="C149" s="110"/>
      <c r="D149" s="110"/>
    </row>
    <row r="150" spans="1:4">
      <c r="A150" s="105"/>
      <c r="B150" s="105"/>
      <c r="C150" s="110"/>
      <c r="D150" s="110"/>
    </row>
    <row r="151" spans="1:4">
      <c r="A151" s="105"/>
      <c r="B151" s="105"/>
      <c r="C151" s="110"/>
      <c r="D151" s="110"/>
    </row>
    <row r="152" spans="1:4">
      <c r="A152" s="105"/>
      <c r="B152" s="105"/>
      <c r="C152" s="110"/>
      <c r="D152" s="110"/>
    </row>
    <row r="153" spans="1:4">
      <c r="A153" s="105"/>
      <c r="B153" s="105"/>
      <c r="C153" s="110"/>
      <c r="D153" s="110"/>
    </row>
    <row r="154" spans="1:4">
      <c r="A154" s="105"/>
      <c r="B154" s="105"/>
      <c r="C154" s="110"/>
      <c r="D154" s="110"/>
    </row>
    <row r="155" spans="1:4">
      <c r="A155" s="105"/>
      <c r="B155" s="105"/>
      <c r="C155" s="110"/>
      <c r="D155" s="110"/>
    </row>
    <row r="156" spans="1:4">
      <c r="A156" s="105"/>
      <c r="B156" s="105"/>
      <c r="C156" s="110"/>
      <c r="D156" s="110"/>
    </row>
    <row r="157" spans="1:4">
      <c r="A157" s="105"/>
      <c r="B157" s="105"/>
      <c r="C157" s="110"/>
      <c r="D157" s="110"/>
    </row>
    <row r="158" spans="1:4">
      <c r="A158" s="105"/>
      <c r="B158" s="105"/>
      <c r="C158" s="110"/>
      <c r="D158" s="110"/>
    </row>
    <row r="159" spans="1:4">
      <c r="A159" s="105"/>
      <c r="B159" s="105"/>
      <c r="C159" s="110"/>
      <c r="D159" s="110"/>
    </row>
    <row r="160" spans="1:4">
      <c r="A160" s="105"/>
      <c r="B160" s="105"/>
      <c r="C160" s="110"/>
      <c r="D160" s="110"/>
    </row>
    <row r="161" spans="1:4">
      <c r="A161" s="105"/>
      <c r="B161" s="105"/>
      <c r="C161" s="110"/>
      <c r="D161" s="110"/>
    </row>
    <row r="162" spans="1:4">
      <c r="A162" s="105"/>
      <c r="B162" s="105"/>
      <c r="C162" s="110"/>
      <c r="D162" s="110"/>
    </row>
    <row r="163" spans="1:4">
      <c r="A163" s="105"/>
      <c r="B163" s="105"/>
      <c r="C163" s="110"/>
      <c r="D163" s="110"/>
    </row>
    <row r="164" spans="1:4">
      <c r="A164" s="105"/>
      <c r="B164" s="105"/>
      <c r="C164" s="110"/>
      <c r="D164" s="110"/>
    </row>
    <row r="165" spans="1:4">
      <c r="A165" s="105"/>
      <c r="B165" s="105"/>
      <c r="C165" s="110"/>
      <c r="D165" s="110"/>
    </row>
    <row r="166" spans="1:4">
      <c r="A166" s="105"/>
      <c r="B166" s="105"/>
      <c r="C166" s="110"/>
      <c r="D166" s="110"/>
    </row>
    <row r="167" spans="1:4">
      <c r="A167" s="105"/>
      <c r="B167" s="105"/>
      <c r="C167" s="110"/>
      <c r="D167" s="110"/>
    </row>
    <row r="168" spans="1:4">
      <c r="A168" s="105"/>
      <c r="B168" s="105"/>
      <c r="C168" s="110"/>
      <c r="D168" s="110"/>
    </row>
    <row r="169" spans="1:4">
      <c r="A169" s="105"/>
      <c r="B169" s="105"/>
      <c r="C169" s="110"/>
      <c r="D169" s="110"/>
    </row>
    <row r="170" spans="1:4">
      <c r="A170" s="105"/>
      <c r="B170" s="105"/>
      <c r="C170" s="110"/>
      <c r="D170" s="110"/>
    </row>
    <row r="171" spans="1:4">
      <c r="A171" s="105"/>
      <c r="B171" s="105"/>
      <c r="C171" s="110"/>
      <c r="D171" s="110"/>
    </row>
    <row r="172" spans="1:4">
      <c r="A172" s="105"/>
      <c r="B172" s="105"/>
      <c r="C172" s="110"/>
      <c r="D172" s="110"/>
    </row>
    <row r="173" spans="1:4">
      <c r="A173" s="105"/>
      <c r="B173" s="105"/>
      <c r="C173" s="110"/>
      <c r="D173" s="110"/>
    </row>
    <row r="174" spans="1:4">
      <c r="A174" s="105"/>
      <c r="B174" s="105"/>
      <c r="C174" s="110"/>
      <c r="D174" s="110"/>
    </row>
    <row r="175" spans="1:4">
      <c r="A175" s="105"/>
      <c r="B175" s="105"/>
      <c r="C175" s="110"/>
      <c r="D175" s="110"/>
    </row>
    <row r="176" spans="1:4">
      <c r="A176" s="105"/>
      <c r="B176" s="105"/>
      <c r="C176" s="110"/>
      <c r="D176" s="110"/>
    </row>
    <row r="177" spans="1:4">
      <c r="A177" s="105"/>
      <c r="B177" s="105"/>
      <c r="C177" s="110"/>
      <c r="D177" s="110"/>
    </row>
    <row r="178" spans="1:4">
      <c r="A178" s="105"/>
      <c r="B178" s="105"/>
      <c r="C178" s="110"/>
      <c r="D178" s="110"/>
    </row>
    <row r="179" spans="1:4">
      <c r="A179" s="105"/>
      <c r="B179" s="105"/>
      <c r="C179" s="110"/>
      <c r="D179" s="110"/>
    </row>
    <row r="180" spans="1:4">
      <c r="A180" s="105"/>
      <c r="B180" s="105"/>
      <c r="C180" s="110"/>
      <c r="D180" s="110"/>
    </row>
    <row r="181" spans="1:4">
      <c r="A181" s="105"/>
      <c r="B181" s="105"/>
      <c r="C181" s="110"/>
      <c r="D181" s="110"/>
    </row>
    <row r="182" spans="1:4">
      <c r="A182" s="105"/>
      <c r="B182" s="105"/>
      <c r="C182" s="110"/>
      <c r="D182" s="110"/>
    </row>
    <row r="183" spans="1:4">
      <c r="A183" s="105"/>
      <c r="B183" s="105"/>
      <c r="C183" s="110"/>
      <c r="D183" s="110"/>
    </row>
    <row r="184" spans="1:4">
      <c r="A184" s="105"/>
      <c r="B184" s="105"/>
      <c r="C184" s="110"/>
      <c r="D184" s="110"/>
    </row>
    <row r="185" spans="1:4">
      <c r="A185" s="105"/>
      <c r="B185" s="105"/>
      <c r="C185" s="110"/>
      <c r="D185" s="110"/>
    </row>
    <row r="186" spans="1:4">
      <c r="A186" s="105"/>
      <c r="B186" s="105"/>
      <c r="C186" s="110"/>
      <c r="D186" s="1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51"/>
  <sheetViews>
    <sheetView workbookViewId="0">
      <selection activeCell="R31" sqref="R31"/>
    </sheetView>
  </sheetViews>
  <sheetFormatPr defaultRowHeight="15"/>
  <cols>
    <col min="1" max="1" width="14.140625" bestFit="1" customWidth="1"/>
    <col min="2" max="3" width="10.7109375" bestFit="1" customWidth="1"/>
    <col min="6" max="7" width="10" bestFit="1" customWidth="1"/>
  </cols>
  <sheetData>
    <row r="1" spans="1:13">
      <c r="A1" t="s">
        <v>0</v>
      </c>
      <c r="B1" t="s">
        <v>4</v>
      </c>
      <c r="C1" t="s">
        <v>1</v>
      </c>
      <c r="D1" t="s">
        <v>2</v>
      </c>
      <c r="E1" t="s">
        <v>3</v>
      </c>
      <c r="F1" t="s">
        <v>25</v>
      </c>
      <c r="G1" t="s">
        <v>26</v>
      </c>
      <c r="H1" t="s">
        <v>5</v>
      </c>
      <c r="I1" t="s">
        <v>7</v>
      </c>
      <c r="J1" t="s">
        <v>8</v>
      </c>
      <c r="K1" t="s">
        <v>15</v>
      </c>
      <c r="L1" t="s">
        <v>18</v>
      </c>
      <c r="M1" t="s">
        <v>19</v>
      </c>
    </row>
    <row r="2" spans="1:13">
      <c r="A2" t="str">
        <f>RTD("profrtd",,"Live","{105417},Symbol")</f>
        <v>BGRIM</v>
      </c>
      <c r="B2">
        <f>RTD("profrtd",,"Live","{105417},Last")</f>
        <v>18.899999999999999</v>
      </c>
      <c r="C2">
        <f>RTD("profrtd",,"Live","{105417},NumT")</f>
        <v>12987</v>
      </c>
      <c r="D2">
        <f>RTD("profrtd",,"Live","{105417},PNumTicks")</f>
        <v>10667</v>
      </c>
      <c r="E2" s="1">
        <f>RTD("profrtd",,"Live","{105417},P2NumTicks")</f>
        <v>17558</v>
      </c>
      <c r="F2">
        <f>RTD("profrtd",,"Live","{105417},BuyVol")</f>
        <v>126016100</v>
      </c>
      <c r="G2">
        <f>RTD("profrtd",,"Live","{105417},SellVol")</f>
        <v>65741700</v>
      </c>
      <c r="H2">
        <f>RTD("profrtd",,"Live","{105417},Change")</f>
        <v>0.9</v>
      </c>
      <c r="I2">
        <f>RTD("profrtd",,"Live","{105417},Volume")</f>
        <v>206459100</v>
      </c>
      <c r="J2">
        <f>RTD("profrtd",,"Live","{105417},Value")</f>
        <v>3821331650</v>
      </c>
      <c r="K2">
        <f>RTD("profrtd",,"Live","{105417},MktCap.")</f>
        <v>48040020000</v>
      </c>
      <c r="L2" t="str">
        <f>RTD("profrtd",,"Live","{105417},Time")</f>
        <v>16:36:22</v>
      </c>
      <c r="M2" t="str">
        <f>RTD("profrtd",,"Live","{105417},Date")</f>
        <v>21/07/2017</v>
      </c>
    </row>
    <row r="3" spans="1:13">
      <c r="A3" t="str">
        <f>RTD("profrtd",,"Live","{34073},Symbol")</f>
        <v>LOXLEY-W</v>
      </c>
      <c r="B3">
        <f>RTD("profrtd",,"Live","{34073},Last")</f>
        <v>0.54</v>
      </c>
      <c r="C3">
        <f>RTD("profrtd",,"Live","{34073},NumT")</f>
        <v>17134</v>
      </c>
      <c r="D3">
        <f>RTD("profrtd",,"Live","{34073},PNumTicks")</f>
        <v>1126</v>
      </c>
      <c r="E3" s="1">
        <f>RTD("profrtd",,"Live","{34073},P2NumTicks")</f>
        <v>1985</v>
      </c>
      <c r="F3">
        <f>RTD("profrtd",,"Live","{34073},BuyVol")</f>
        <v>236816600</v>
      </c>
      <c r="G3">
        <f>RTD("profrtd",,"Live","{34073},SellVol")</f>
        <v>222671500</v>
      </c>
      <c r="H3">
        <f>RTD("profrtd",,"Live","{34073},Change")</f>
        <v>0.31</v>
      </c>
      <c r="I3">
        <f>RTD("profrtd",,"Live","{34073},Volume")</f>
        <v>469287100</v>
      </c>
      <c r="J3">
        <f>RTD("profrtd",,"Live","{34073},Value")</f>
        <v>274974218</v>
      </c>
      <c r="K3">
        <f>RTD("profrtd",,"Live","{34073},MktCap.")</f>
        <v>35767800.18</v>
      </c>
      <c r="L3" t="str">
        <f>RTD("profrtd",,"Live","{34073},Time")</f>
        <v>16:36:23</v>
      </c>
      <c r="M3" t="str">
        <f>RTD("profrtd",,"Live","{34073},Date")</f>
        <v>21/07/2017</v>
      </c>
    </row>
    <row r="4" spans="1:13">
      <c r="A4" t="str">
        <f>RTD("profrtd",,"Live","{96018},Symbol")</f>
        <v>PHOL-W1</v>
      </c>
      <c r="B4">
        <f>RTD("profrtd",,"Live","{96018},Last")</f>
        <v>0.85</v>
      </c>
      <c r="C4">
        <f>RTD("profrtd",,"Live","{96018},NumT")</f>
        <v>6480</v>
      </c>
      <c r="D4">
        <f>RTD("profrtd",,"Live","{96018},PNumTicks")</f>
        <v>12155</v>
      </c>
      <c r="E4" s="1">
        <f>RTD("profrtd",,"Live","{96018},P2NumTicks")</f>
        <v>1301</v>
      </c>
      <c r="F4">
        <f>RTD("profrtd",,"Live","{96018},BuyVol")</f>
        <v>39630900</v>
      </c>
      <c r="G4">
        <f>RTD("profrtd",,"Live","{96018},SellVol")</f>
        <v>51933500</v>
      </c>
      <c r="H4">
        <f>RTD("profrtd",,"Live","{96018},Change")</f>
        <v>-0.31</v>
      </c>
      <c r="I4">
        <f>RTD("profrtd",,"Live","{96018},Volume")</f>
        <v>103822900</v>
      </c>
      <c r="J4">
        <f>RTD("profrtd",,"Live","{96018},Value")</f>
        <v>116842974</v>
      </c>
      <c r="K4">
        <f>RTD("profrtd",,"Live","{96018},MktCap.")</f>
        <v>34424996.600000001</v>
      </c>
      <c r="L4" t="str">
        <f>RTD("profrtd",,"Live","{96018},Time")</f>
        <v>16:36:16</v>
      </c>
      <c r="M4" t="str">
        <f>RTD("profrtd",,"Live","{96018},Date")</f>
        <v>21/07/2017</v>
      </c>
    </row>
    <row r="5" spans="1:13">
      <c r="A5" t="str">
        <f>RTD("profrtd",,"Live","{98188},Symbol")</f>
        <v>PLE-W3</v>
      </c>
      <c r="B5">
        <f>RTD("profrtd",,"Live","{98188},Last")</f>
        <v>0.87</v>
      </c>
      <c r="C5">
        <f>RTD("profrtd",,"Live","{98188},NumT")</f>
        <v>5586</v>
      </c>
      <c r="D5">
        <f>RTD("profrtd",,"Live","{98188},PNumTicks")</f>
        <v>2233</v>
      </c>
      <c r="E5">
        <f>RTD("profrtd",,"Live","{98188},P2NumTicks")</f>
        <v>1122</v>
      </c>
      <c r="F5">
        <f>RTD("profrtd",,"Live","{98188},BuyVol")</f>
        <v>64189100</v>
      </c>
      <c r="G5">
        <f>RTD("profrtd",,"Live","{98188},SellVol")</f>
        <v>54130400</v>
      </c>
      <c r="H5">
        <f>RTD("profrtd",,"Live","{98188},Change")</f>
        <v>0.17</v>
      </c>
      <c r="I5">
        <f>RTD("profrtd",,"Live","{98188},Volume")</f>
        <v>124422900</v>
      </c>
      <c r="J5">
        <f>RTD("profrtd",,"Live","{98188},Value")</f>
        <v>113159269</v>
      </c>
      <c r="K5">
        <f>RTD("profrtd",,"Live","{98188},MktCap.")</f>
        <v>44690868.18</v>
      </c>
      <c r="L5" t="str">
        <f>RTD("profrtd",,"Live","{98188},Time")</f>
        <v>16:36:19</v>
      </c>
      <c r="M5" t="str">
        <f>RTD("profrtd",,"Live","{98188},Date")</f>
        <v>21/07/2017</v>
      </c>
    </row>
    <row r="6" spans="1:13">
      <c r="A6" s="4" t="str">
        <f>RTD("profrtd",,"Live","{87998},Symbol")</f>
        <v>OCEAN-W2</v>
      </c>
      <c r="B6" s="4">
        <f>RTD("profrtd",,"Live","{87998},Last")</f>
        <v>0.45</v>
      </c>
      <c r="C6" s="4">
        <f>RTD("profrtd",,"Live","{87998},NumT")</f>
        <v>4842</v>
      </c>
      <c r="D6">
        <f>RTD("profrtd",,"Live","{87998},PNumTicks")</f>
        <v>306</v>
      </c>
      <c r="E6">
        <f>RTD("profrtd",,"Live","{87998},P2NumTicks")</f>
        <v>209</v>
      </c>
      <c r="F6">
        <f>RTD("profrtd",,"Live","{87998},BuyVol")</f>
        <v>100144400</v>
      </c>
      <c r="G6">
        <f>RTD("profrtd",,"Live","{87998},SellVol")</f>
        <v>95805200</v>
      </c>
      <c r="H6">
        <f>RTD("profrtd",,"Live","{87998},Change")</f>
        <v>0.04</v>
      </c>
      <c r="I6">
        <f>RTD("profrtd",,"Live","{87998},Volume")</f>
        <v>202706300</v>
      </c>
      <c r="J6">
        <f>RTD("profrtd",,"Live","{87998},Value")</f>
        <v>103723673</v>
      </c>
      <c r="K6">
        <f>RTD("profrtd",,"Live","{87998},MktCap.")</f>
        <v>65146465.350000001</v>
      </c>
      <c r="L6" t="str">
        <f>RTD("profrtd",,"Live","{87998},Time")</f>
        <v>16:36:16</v>
      </c>
      <c r="M6" t="str">
        <f>RTD("profrtd",,"Live","{87998},Date")</f>
        <v>21/07/2017</v>
      </c>
    </row>
    <row r="7" spans="1:13">
      <c r="A7" t="str">
        <f>RTD("profrtd",,"Live","{103987},Symbol")</f>
        <v>SMM-W4</v>
      </c>
      <c r="B7">
        <f>RTD("profrtd",,"Live","{103987},Last")</f>
        <v>0.54</v>
      </c>
      <c r="C7">
        <f>RTD("profrtd",,"Live","{103987},NumT")</f>
        <v>4924</v>
      </c>
      <c r="D7">
        <f>RTD("profrtd",,"Live","{103987},PNumTicks")</f>
        <v>577</v>
      </c>
      <c r="E7">
        <f>RTD("profrtd",,"Live","{103987},P2NumTicks")</f>
        <v>1402</v>
      </c>
      <c r="F7">
        <f>RTD("profrtd",,"Live","{103987},BuyVol")</f>
        <v>68730300</v>
      </c>
      <c r="G7">
        <f>RTD("profrtd",,"Live","{103987},SellVol")</f>
        <v>70778200</v>
      </c>
      <c r="H7">
        <f>RTD("profrtd",,"Live","{103987},Change")</f>
        <v>0.05</v>
      </c>
      <c r="I7">
        <f>RTD("profrtd",,"Live","{103987},Volume")</f>
        <v>149464400</v>
      </c>
      <c r="J7">
        <f>RTD("profrtd",,"Live","{103987},Value")</f>
        <v>95787194</v>
      </c>
      <c r="K7">
        <f>RTD("profrtd",,"Live","{103987},MktCap.")</f>
        <v>43627136.759999998</v>
      </c>
      <c r="L7" t="str">
        <f>RTD("profrtd",,"Live","{103987},Time")</f>
        <v>16:36:20</v>
      </c>
      <c r="M7" t="str">
        <f>RTD("profrtd",,"Live","{103987},Date")</f>
        <v>21/07/2017</v>
      </c>
    </row>
    <row r="8" spans="1:13">
      <c r="A8" t="str">
        <f>RTD("profrtd",,"Live","{47027},Symbol")</f>
        <v>CGH-W2</v>
      </c>
      <c r="B8">
        <f>RTD("profrtd",,"Live","{47027},Last")</f>
        <v>0.17</v>
      </c>
      <c r="C8">
        <f>RTD("profrtd",,"Live","{47027},NumT")</f>
        <v>4557</v>
      </c>
      <c r="D8">
        <f>RTD("profrtd",,"Live","{47027},PNumTicks")</f>
        <v>39</v>
      </c>
      <c r="E8">
        <f>RTD("profrtd",,"Live","{47027},P2NumTicks")</f>
        <v>194</v>
      </c>
      <c r="F8">
        <f>RTD("profrtd",,"Live","{47027},BuyVol")</f>
        <v>73284200</v>
      </c>
      <c r="G8">
        <f>RTD("profrtd",,"Live","{47027},SellVol")</f>
        <v>81703100</v>
      </c>
      <c r="H8">
        <f>RTD("profrtd",,"Live","{47027},Change")</f>
        <v>7.0000000000000007E-2</v>
      </c>
      <c r="I8">
        <f>RTD("profrtd",,"Live","{47027},Volume")</f>
        <v>157390500</v>
      </c>
      <c r="J8">
        <f>RTD("profrtd",,"Live","{47027},Value")</f>
        <v>34126781</v>
      </c>
      <c r="K8">
        <f>RTD("profrtd",,"Live","{47027},MktCap.")</f>
        <v>61432435.729999997</v>
      </c>
      <c r="L8" t="str">
        <f>RTD("profrtd",,"Live","{47027},Time")</f>
        <v>16:36:21</v>
      </c>
      <c r="M8" t="str">
        <f>RTD("profrtd",,"Live","{47027},Date")</f>
        <v>21/07/2017</v>
      </c>
    </row>
    <row r="9" spans="1:13">
      <c r="A9" t="str">
        <f>RTD("profrtd",,"Live","{92200},Symbol")</f>
        <v>GL-W4</v>
      </c>
      <c r="B9">
        <f>RTD("profrtd",,"Live","{92200},Last")</f>
        <v>5.55</v>
      </c>
      <c r="C9">
        <f>RTD("profrtd",,"Live","{92200},NumT")</f>
        <v>4194</v>
      </c>
      <c r="D9">
        <f>RTD("profrtd",,"Live","{92200},PNumTicks")</f>
        <v>821</v>
      </c>
      <c r="E9">
        <f>RTD("profrtd",,"Live","{92200},P2NumTicks")</f>
        <v>675</v>
      </c>
      <c r="F9">
        <f>RTD("profrtd",,"Live","{92200},BuyVol")</f>
        <v>14401300</v>
      </c>
      <c r="G9">
        <f>RTD("profrtd",,"Live","{92200},SellVol")</f>
        <v>12382700</v>
      </c>
      <c r="H9">
        <f>RTD("profrtd",,"Live","{92200},Change")</f>
        <v>0.25</v>
      </c>
      <c r="I9">
        <f>RTD("profrtd",,"Live","{92200},Volume")</f>
        <v>29054100</v>
      </c>
      <c r="J9">
        <f>RTD("profrtd",,"Live","{92200},Value")</f>
        <v>166501445</v>
      </c>
      <c r="K9">
        <f>RTD("profrtd",,"Live","{92200},MktCap.")</f>
        <v>915450749.54999995</v>
      </c>
      <c r="L9" t="str">
        <f>RTD("profrtd",,"Live","{92200},Time")</f>
        <v>16:36:15</v>
      </c>
      <c r="M9" t="str">
        <f>RTD("profrtd",,"Live","{92200},Date")</f>
        <v>21/07/2017</v>
      </c>
    </row>
    <row r="10" spans="1:13">
      <c r="A10" t="str">
        <f>RTD("profrtd",,"Live","{1259},Symbol")</f>
        <v>TMB</v>
      </c>
      <c r="B10">
        <f>RTD("profrtd",,"Live","{1259},Last")</f>
        <v>2.38</v>
      </c>
      <c r="C10">
        <f>RTD("profrtd",,"Live","{1259},NumT")</f>
        <v>4290</v>
      </c>
      <c r="D10">
        <f>RTD("profrtd",,"Live","{1259},PNumTicks")</f>
        <v>2735</v>
      </c>
      <c r="E10">
        <f>RTD("profrtd",,"Live","{1259},P2NumTicks")</f>
        <v>2265</v>
      </c>
      <c r="F10">
        <f>RTD("profrtd",,"Live","{1259},BuyVol")</f>
        <v>163254300</v>
      </c>
      <c r="G10">
        <f>RTD("profrtd",,"Live","{1259},SellVol")</f>
        <v>101030400</v>
      </c>
      <c r="H10">
        <f>RTD("profrtd",,"Live","{1259},Change")</f>
        <v>0.08</v>
      </c>
      <c r="I10">
        <f>RTD("profrtd",,"Live","{1259},Volume")</f>
        <v>300595500</v>
      </c>
      <c r="J10">
        <f>RTD("profrtd",,"Live","{1259},Value")</f>
        <v>707981490</v>
      </c>
      <c r="K10">
        <f>RTD("profrtd",,"Live","{1259},MktCap.")</f>
        <v>104338864112.98</v>
      </c>
      <c r="L10" t="str">
        <f>RTD("profrtd",,"Live","{1259},Time")</f>
        <v>16:36:22</v>
      </c>
      <c r="M10" t="str">
        <f>RTD("profrtd",,"Live","{1259},Date")</f>
        <v>21/07/2017</v>
      </c>
    </row>
    <row r="11" spans="1:13">
      <c r="A11" t="str">
        <f>RTD("profrtd",,"Live","{2101},Symbol")</f>
        <v>BANPU</v>
      </c>
      <c r="B11">
        <f>RTD("profrtd",,"Live","{2101},Last")</f>
        <v>16.399999999999999</v>
      </c>
      <c r="C11">
        <f>RTD("profrtd",,"Live","{2101},NumT")</f>
        <v>3969</v>
      </c>
      <c r="D11">
        <f>RTD("profrtd",,"Live","{2101},PNumTicks")</f>
        <v>2977</v>
      </c>
      <c r="E11">
        <f>RTD("profrtd",,"Live","{2101},P2NumTicks")</f>
        <v>7052</v>
      </c>
      <c r="F11">
        <f>RTD("profrtd",,"Live","{2101},BuyVol")</f>
        <v>23619600</v>
      </c>
      <c r="G11">
        <f>RTD("profrtd",,"Live","{2101},SellVol")</f>
        <v>39408000</v>
      </c>
      <c r="H11">
        <f>RTD("profrtd",,"Live","{2101},Change")</f>
        <v>-0.1</v>
      </c>
      <c r="I11">
        <f>RTD("profrtd",,"Live","{2101},Volume")</f>
        <v>74118700</v>
      </c>
      <c r="J11">
        <f>RTD("profrtd",,"Live","{2101},Value")</f>
        <v>1230503200</v>
      </c>
      <c r="K11">
        <f>RTD("profrtd",,"Live","{2101},MktCap.")</f>
        <v>84655578446</v>
      </c>
      <c r="L11" t="str">
        <f>RTD("profrtd",,"Live","{2101},Time")</f>
        <v>16:36:22</v>
      </c>
      <c r="M11" t="str">
        <f>RTD("profrtd",,"Live","{2101},Date")</f>
        <v>21/07/2017</v>
      </c>
    </row>
    <row r="12" spans="1:13">
      <c r="A12" t="str">
        <f>RTD("profrtd",,"Live","{45275},Symbol")</f>
        <v>BROCK-W1</v>
      </c>
      <c r="B12">
        <f>RTD("profrtd",,"Live","{45275},Last")</f>
        <v>0.3</v>
      </c>
      <c r="C12">
        <f>RTD("profrtd",,"Live","{45275},NumT")</f>
        <v>3855</v>
      </c>
      <c r="D12">
        <f>RTD("profrtd",,"Live","{45275},PNumTicks")</f>
        <v>72</v>
      </c>
      <c r="E12">
        <f>RTD("profrtd",,"Live","{45275},P2NumTicks")</f>
        <v>332</v>
      </c>
      <c r="F12">
        <f>RTD("profrtd",,"Live","{45275},BuyVol")</f>
        <v>76697000</v>
      </c>
      <c r="G12">
        <f>RTD("profrtd",,"Live","{45275},SellVol")</f>
        <v>82158300</v>
      </c>
      <c r="H12">
        <f>RTD("profrtd",,"Live","{45275},Change")</f>
        <v>7.0000000000000007E-2</v>
      </c>
      <c r="I12">
        <f>RTD("profrtd",,"Live","{45275},Volume")</f>
        <v>165050800</v>
      </c>
      <c r="J12">
        <f>RTD("profrtd",,"Live","{45275},Value")</f>
        <v>56254063</v>
      </c>
      <c r="K12">
        <f>RTD("profrtd",,"Live","{45275},MktCap.")</f>
        <v>61490973.299999997</v>
      </c>
      <c r="L12" t="str">
        <f>RTD("profrtd",,"Live","{45275},Time")</f>
        <v>16:36:21</v>
      </c>
      <c r="M12" t="str">
        <f>RTD("profrtd",,"Live","{45275},Date")</f>
        <v>21/07/2017</v>
      </c>
    </row>
    <row r="13" spans="1:13">
      <c r="A13" t="str">
        <f>RTD("profrtd",,"Live","{2026},Symbol")</f>
        <v>AOT</v>
      </c>
      <c r="B13">
        <f>RTD("profrtd",,"Live","{2026},Last")</f>
        <v>51.25</v>
      </c>
      <c r="C13">
        <f>RTD("profrtd",,"Live","{2026},NumT")</f>
        <v>4716</v>
      </c>
      <c r="D13">
        <f>RTD("profrtd",,"Live","{2026},PNumTicks")</f>
        <v>6188</v>
      </c>
      <c r="E13">
        <f>RTD("profrtd",,"Live","{2026},P2NumTicks")</f>
        <v>2818</v>
      </c>
      <c r="F13">
        <f>RTD("profrtd",,"Live","{2026},BuyVol")</f>
        <v>26712800</v>
      </c>
      <c r="G13">
        <f>RTD("profrtd",,"Live","{2026},SellVol")</f>
        <v>12596300</v>
      </c>
      <c r="H13">
        <f>RTD("profrtd",,"Live","{2026},Change")</f>
        <v>0.75</v>
      </c>
      <c r="I13">
        <f>RTD("profrtd",,"Live","{2026},Volume")</f>
        <v>42381100</v>
      </c>
      <c r="J13">
        <f>RTD("profrtd",,"Live","{2026},Value")</f>
        <v>2157314150</v>
      </c>
      <c r="K13">
        <f>RTD("profrtd",,"Live","{2026},MktCap.")</f>
        <v>732142125000</v>
      </c>
      <c r="L13" t="str">
        <f>RTD("profrtd",,"Live","{2026},Time")</f>
        <v>16:36:22</v>
      </c>
      <c r="M13" t="str">
        <f>RTD("profrtd",,"Live","{2026},Date")</f>
        <v>21/07/2017</v>
      </c>
    </row>
    <row r="14" spans="1:13">
      <c r="A14" t="str">
        <f>RTD("profrtd",,"Live","{98854},Symbol")</f>
        <v>NDR-W1</v>
      </c>
      <c r="B14">
        <f>RTD("profrtd",,"Live","{98854},Last")</f>
        <v>1.07</v>
      </c>
      <c r="C14">
        <f>RTD("profrtd",,"Live","{98854},NumT")</f>
        <v>2886</v>
      </c>
      <c r="D14">
        <f>RTD("profrtd",,"Live","{98854},PNumTicks")</f>
        <v>1076</v>
      </c>
      <c r="E14">
        <f>RTD("profrtd",,"Live","{98854},P2NumTicks")</f>
        <v>1104</v>
      </c>
      <c r="F14">
        <f>RTD("profrtd",,"Live","{98854},BuyVol")</f>
        <v>22629900</v>
      </c>
      <c r="G14">
        <f>RTD("profrtd",,"Live","{98854},SellVol")</f>
        <v>27645600</v>
      </c>
      <c r="H14">
        <f>RTD("profrtd",,"Live","{98854},Change")</f>
        <v>-7.0000000000000007E-2</v>
      </c>
      <c r="I14">
        <f>RTD("profrtd",,"Live","{98854},Volume")</f>
        <v>56265200</v>
      </c>
      <c r="J14">
        <f>RTD("profrtd",,"Live","{98854},Value")</f>
        <v>66569523</v>
      </c>
      <c r="K14">
        <f>RTD("profrtd",,"Live","{98854},MktCap.")</f>
        <v>114114915.78</v>
      </c>
      <c r="L14" t="str">
        <f>RTD("profrtd",,"Live","{98854},Time")</f>
        <v>16:36:23</v>
      </c>
      <c r="M14" t="str">
        <f>RTD("profrtd",,"Live","{98854},Date")</f>
        <v>21/07/2017</v>
      </c>
    </row>
    <row r="15" spans="1:13">
      <c r="A15" t="str">
        <f>RTD("profrtd",,"Live","{24650},Symbol")</f>
        <v>KKP</v>
      </c>
      <c r="B15">
        <f>RTD("profrtd",,"Live","{24650},Last")</f>
        <v>70.25</v>
      </c>
      <c r="C15">
        <f>RTD("profrtd",,"Live","{24650},NumT")</f>
        <v>4404</v>
      </c>
      <c r="D15">
        <f>RTD("profrtd",,"Live","{24650},PNumTicks")</f>
        <v>1275</v>
      </c>
      <c r="E15">
        <f>RTD("profrtd",,"Live","{24650},P2NumTicks")</f>
        <v>1098</v>
      </c>
      <c r="F15">
        <f>RTD("profrtd",,"Live","{24650},BuyVol")</f>
        <v>7037500</v>
      </c>
      <c r="G15">
        <f>RTD("profrtd",,"Live","{24650},SellVol")</f>
        <v>12804300</v>
      </c>
      <c r="H15">
        <f>RTD("profrtd",,"Live","{24650},Change")</f>
        <v>-2.75</v>
      </c>
      <c r="I15">
        <f>RTD("profrtd",,"Live","{24650},Volume")</f>
        <v>22053300</v>
      </c>
      <c r="J15">
        <f>RTD("profrtd",,"Live","{24650},Value")</f>
        <v>1553272025</v>
      </c>
      <c r="K15">
        <f>RTD("profrtd",,"Live","{24650},MktCap.")</f>
        <v>59484265407.25</v>
      </c>
      <c r="L15" t="str">
        <f>RTD("profrtd",,"Live","{24650},Time")</f>
        <v>16:36:18</v>
      </c>
      <c r="M15" t="str">
        <f>RTD("profrtd",,"Live","{24650},Date")</f>
        <v>21/07/2017</v>
      </c>
    </row>
    <row r="16" spans="1:13">
      <c r="A16" t="str">
        <f>RTD("profrtd",,"Live","{45710},Symbol")</f>
        <v>WIIK-W1</v>
      </c>
      <c r="B16">
        <f>RTD("profrtd",,"Live","{45710},Last")</f>
        <v>1.18</v>
      </c>
      <c r="C16">
        <f>RTD("profrtd",,"Live","{45710},NumT")</f>
        <v>2860</v>
      </c>
      <c r="D16">
        <f>RTD("profrtd",,"Live","{45710},PNumTicks")</f>
        <v>3035</v>
      </c>
      <c r="E16">
        <f>RTD("profrtd",,"Live","{45710},P2NumTicks")</f>
        <v>1204</v>
      </c>
      <c r="F16">
        <f>RTD("profrtd",,"Live","{45710},BuyVol")</f>
        <v>27231500</v>
      </c>
      <c r="G16">
        <f>RTD("profrtd",,"Live","{45710},SellVol")</f>
        <v>33196500</v>
      </c>
      <c r="H16">
        <f>RTD("profrtd",,"Live","{45710},Change")</f>
        <v>-0.05</v>
      </c>
      <c r="I16">
        <f>RTD("profrtd",,"Live","{45710},Volume")</f>
        <v>64512900</v>
      </c>
      <c r="J16">
        <f>RTD("profrtd",,"Live","{45710},Value")</f>
        <v>83471419</v>
      </c>
      <c r="K16">
        <f>RTD("profrtd",,"Live","{45710},MktCap.")</f>
        <v>117956500.48</v>
      </c>
      <c r="L16" t="str">
        <f>RTD("profrtd",,"Live","{45710},Time")</f>
        <v>16:36:15</v>
      </c>
      <c r="M16" t="str">
        <f>RTD("profrtd",,"Live","{45710},Date")</f>
        <v>21/07/2017</v>
      </c>
    </row>
    <row r="17" spans="1:13">
      <c r="A17" t="str">
        <f>RTD("profrtd",,"Live","{2104},Symbol")</f>
        <v>BBL</v>
      </c>
      <c r="B17">
        <f>RTD("profrtd",,"Live","{2104},Last")</f>
        <v>180.5</v>
      </c>
      <c r="C17">
        <f>RTD("profrtd",,"Live","{2104},NumT")</f>
        <v>2880</v>
      </c>
      <c r="D17">
        <f>RTD("profrtd",,"Live","{2104},PNumTicks")</f>
        <v>2137</v>
      </c>
      <c r="E17">
        <f>RTD("profrtd",,"Live","{2104},P2NumTicks")</f>
        <v>1068</v>
      </c>
      <c r="F17">
        <f>RTD("profrtd",,"Live","{2104},BuyVol")</f>
        <v>3483800</v>
      </c>
      <c r="G17">
        <f>RTD("profrtd",,"Live","{2104},SellVol")</f>
        <v>4105400</v>
      </c>
      <c r="H17">
        <f>RTD("profrtd",,"Live","{2104},Change")</f>
        <v>-2</v>
      </c>
      <c r="I17">
        <f>RTD("profrtd",,"Live","{2104},Volume")</f>
        <v>8650400</v>
      </c>
      <c r="J17">
        <f>RTD("profrtd",,"Live","{2104},Value")</f>
        <v>1564090200</v>
      </c>
      <c r="K17">
        <f>RTD("profrtd",,"Live","{2104},MktCap.")</f>
        <v>344546142367</v>
      </c>
      <c r="L17" t="str">
        <f>RTD("profrtd",,"Live","{2104},Time")</f>
        <v>16:36:22</v>
      </c>
      <c r="M17" t="str">
        <f>RTD("profrtd",,"Live","{2104},Date")</f>
        <v>21/07/2017</v>
      </c>
    </row>
    <row r="18" spans="1:13">
      <c r="A18" t="str">
        <f>RTD("profrtd",,"Live","{88757},Symbol")</f>
        <v>TNPC-W1</v>
      </c>
      <c r="B18">
        <f>RTD("profrtd",,"Live","{88757},Last")</f>
        <v>0.69</v>
      </c>
      <c r="C18">
        <f>RTD("profrtd",,"Live","{88757},NumT")</f>
        <v>2824</v>
      </c>
      <c r="D18">
        <f>RTD("profrtd",,"Live","{88757},PNumTicks")</f>
        <v>3008</v>
      </c>
      <c r="E18">
        <f>RTD("profrtd",,"Live","{88757},P2NumTicks")</f>
        <v>397</v>
      </c>
      <c r="F18">
        <f>RTD("profrtd",,"Live","{88757},BuyVol")</f>
        <v>19409500</v>
      </c>
      <c r="G18">
        <f>RTD("profrtd",,"Live","{88757},SellVol")</f>
        <v>22904600</v>
      </c>
      <c r="H18">
        <f>RTD("profrtd",,"Live","{88757},Change")</f>
        <v>-0.31</v>
      </c>
      <c r="I18">
        <f>RTD("profrtd",,"Live","{88757},Volume")</f>
        <v>47321900</v>
      </c>
      <c r="J18">
        <f>RTD("profrtd",,"Live","{88757},Value")</f>
        <v>46218434</v>
      </c>
      <c r="K18">
        <f>RTD("profrtd",,"Live","{88757},MktCap.")</f>
        <v>36743913.810000002</v>
      </c>
      <c r="L18" t="str">
        <f>RTD("profrtd",,"Live","{88757},Time")</f>
        <v>16:36:16</v>
      </c>
      <c r="M18" t="str">
        <f>RTD("profrtd",,"Live","{88757},Date")</f>
        <v>21/07/2017</v>
      </c>
    </row>
    <row r="19" spans="1:13">
      <c r="A19" t="str">
        <f>RTD("profrtd",,"Live","{1253},Symbol")</f>
        <v>THAI</v>
      </c>
      <c r="B19">
        <f>RTD("profrtd",,"Live","{1253},Last")</f>
        <v>19</v>
      </c>
      <c r="C19">
        <f>RTD("profrtd",,"Live","{1253},NumT")</f>
        <v>2647</v>
      </c>
      <c r="D19">
        <f>RTD("profrtd",,"Live","{1253},PNumTicks")</f>
        <v>962</v>
      </c>
      <c r="E19">
        <f>RTD("profrtd",,"Live","{1253},P2NumTicks")</f>
        <v>591</v>
      </c>
      <c r="F19">
        <f>RTD("profrtd",,"Live","{1253},BuyVol")</f>
        <v>4410400</v>
      </c>
      <c r="G19">
        <f>RTD("profrtd",,"Live","{1253},SellVol")</f>
        <v>7983900</v>
      </c>
      <c r="H19">
        <f>RTD("profrtd",,"Live","{1253},Change")</f>
        <v>-0.6</v>
      </c>
      <c r="I19">
        <f>RTD("profrtd",,"Live","{1253},Volume")</f>
        <v>13969700</v>
      </c>
      <c r="J19">
        <f>RTD("profrtd",,"Live","{1253},Value")</f>
        <v>267716250</v>
      </c>
      <c r="K19">
        <f>RTD("profrtd",,"Live","{1253},MktCap.")</f>
        <v>41472666423</v>
      </c>
      <c r="L19" t="str">
        <f>RTD("profrtd",,"Live","{1253},Time")</f>
        <v>16:36:19</v>
      </c>
      <c r="M19" t="str">
        <f>RTD("profrtd",,"Live","{1253},Date")</f>
        <v>21/07/2017</v>
      </c>
    </row>
    <row r="20" spans="1:13">
      <c r="A20" t="str">
        <f>RTD("profrtd",,"Live","{36697},Symbol")</f>
        <v>SUSCO-W1</v>
      </c>
      <c r="B20">
        <f>RTD("profrtd",,"Live","{36697},Last")</f>
        <v>0.61</v>
      </c>
      <c r="C20">
        <f>RTD("profrtd",,"Live","{36697},NumT")</f>
        <v>2673</v>
      </c>
      <c r="D20">
        <f>RTD("profrtd",,"Live","{36697},PNumTicks")</f>
        <v>161</v>
      </c>
      <c r="E20">
        <f>RTD("profrtd",,"Live","{36697},P2NumTicks")</f>
        <v>574</v>
      </c>
      <c r="F20">
        <f>RTD("profrtd",,"Live","{36697},BuyVol")</f>
        <v>31403300</v>
      </c>
      <c r="G20">
        <f>RTD("profrtd",,"Live","{36697},SellVol")</f>
        <v>40259600</v>
      </c>
      <c r="H20">
        <f>RTD("profrtd",,"Live","{36697},Change")</f>
        <v>0.09</v>
      </c>
      <c r="I20">
        <f>RTD("profrtd",,"Live","{36697},Volume")</f>
        <v>75716100</v>
      </c>
      <c r="J20">
        <f>RTD("profrtd",,"Live","{36697},Value")</f>
        <v>49249273</v>
      </c>
      <c r="K20">
        <f>RTD("profrtd",,"Live","{36697},MktCap.")</f>
        <v>167736159.09999999</v>
      </c>
      <c r="L20" t="str">
        <f>RTD("profrtd",,"Live","{36697},Time")</f>
        <v>16:36:15</v>
      </c>
      <c r="M20" t="str">
        <f>RTD("profrtd",,"Live","{36697},Date")</f>
        <v>21/07/2017</v>
      </c>
    </row>
    <row r="21" spans="1:13">
      <c r="A21" t="str">
        <f>RTD("profrtd",,"Live","{36723},Symbol")</f>
        <v>CGH-W1</v>
      </c>
      <c r="B21">
        <f>RTD("profrtd",,"Live","{36723},Last")</f>
        <v>0.05</v>
      </c>
      <c r="C21">
        <f>RTD("profrtd",,"Live","{36723},NumT")</f>
        <v>2412</v>
      </c>
      <c r="D21">
        <f>RTD("profrtd",,"Live","{36723},PNumTicks")</f>
        <v>15</v>
      </c>
      <c r="E21">
        <f>RTD("profrtd",,"Live","{36723},P2NumTicks")</f>
        <v>28</v>
      </c>
      <c r="F21">
        <f>RTD("profrtd",,"Live","{36723},BuyVol")</f>
        <v>132150000</v>
      </c>
      <c r="G21">
        <f>RTD("profrtd",,"Live","{36723},SellVol")</f>
        <v>167540400</v>
      </c>
      <c r="H21">
        <f>RTD("profrtd",,"Live","{36723},Change")</f>
        <v>0.01</v>
      </c>
      <c r="I21">
        <f>RTD("profrtd",,"Live","{36723},Volume")</f>
        <v>308288600</v>
      </c>
      <c r="J21">
        <f>RTD("profrtd",,"Live","{36723},Value")</f>
        <v>18902752</v>
      </c>
      <c r="K21">
        <f>RTD("profrtd",,"Live","{36723},MktCap.")</f>
        <v>42770413.75</v>
      </c>
      <c r="L21" t="str">
        <f>RTD("profrtd",,"Live","{36723},Time")</f>
        <v>16:36:22</v>
      </c>
      <c r="M21" t="str">
        <f>RTD("profrtd",,"Live","{36723},Date")</f>
        <v>21/07/2017</v>
      </c>
    </row>
    <row r="22" spans="1:13">
      <c r="A22" t="str">
        <f>RTD("profrtd",,"Live","{2060},Symbol")</f>
        <v>TOP</v>
      </c>
      <c r="B22">
        <f>RTD("profrtd",,"Live","{2060},Last")</f>
        <v>84</v>
      </c>
      <c r="C22">
        <f>RTD("profrtd",,"Live","{2060},NumT")</f>
        <v>2903</v>
      </c>
      <c r="D22">
        <f>RTD("profrtd",,"Live","{2060},PNumTicks")</f>
        <v>3147</v>
      </c>
      <c r="E22">
        <f>RTD("profrtd",,"Live","{2060},P2NumTicks")</f>
        <v>5037</v>
      </c>
      <c r="F22">
        <f>RTD("profrtd",,"Live","{2060},BuyVol")</f>
        <v>6225200</v>
      </c>
      <c r="G22">
        <f>RTD("profrtd",,"Live","{2060},SellVol")</f>
        <v>5315100</v>
      </c>
      <c r="H22">
        <f>RTD("profrtd",,"Live","{2060},Change")</f>
        <v>1.75</v>
      </c>
      <c r="I22">
        <f>RTD("profrtd",,"Live","{2060},Volume")</f>
        <v>12315300</v>
      </c>
      <c r="J22">
        <f>RTD("profrtd",,"Live","{2060},Value")</f>
        <v>1034248500</v>
      </c>
      <c r="K22">
        <f>RTD("profrtd",,"Live","{2060},MktCap.")</f>
        <v>171362341332</v>
      </c>
      <c r="L22" t="str">
        <f>RTD("profrtd",,"Live","{2060},Time")</f>
        <v>16:36:22</v>
      </c>
      <c r="M22" t="str">
        <f>RTD("profrtd",,"Live","{2060},Date")</f>
        <v>21/07/2017</v>
      </c>
    </row>
    <row r="23" spans="1:13">
      <c r="A23" t="str">
        <f>RTD("profrtd",,"Live","{46865},Symbol")</f>
        <v>AIRA-W2</v>
      </c>
      <c r="B23">
        <f>RTD("profrtd",,"Live","{46865},Last")</f>
        <v>0.26</v>
      </c>
      <c r="C23">
        <f>RTD("profrtd",,"Live","{46865},NumT")</f>
        <v>2465</v>
      </c>
      <c r="D23">
        <f>RTD("profrtd",,"Live","{46865},PNumTicks")</f>
        <v>278</v>
      </c>
      <c r="E23">
        <f>RTD("profrtd",,"Live","{46865},P2NumTicks")</f>
        <v>629</v>
      </c>
      <c r="F23">
        <f>RTD("profrtd",,"Live","{46865},BuyVol")</f>
        <v>50764600</v>
      </c>
      <c r="G23">
        <f>RTD("profrtd",,"Live","{46865},SellVol")</f>
        <v>50969100</v>
      </c>
      <c r="H23">
        <f>RTD("profrtd",,"Live","{46865},Change")</f>
        <v>0.03</v>
      </c>
      <c r="I23">
        <f>RTD("profrtd",,"Live","{46865},Volume")</f>
        <v>104337900</v>
      </c>
      <c r="J23">
        <f>RTD("profrtd",,"Live","{46865},Value")</f>
        <v>34518049</v>
      </c>
      <c r="K23">
        <f>RTD("profrtd",,"Live","{46865},MktCap.")</f>
        <v>203290549.02000001</v>
      </c>
      <c r="L23" t="str">
        <f>RTD("profrtd",,"Live","{46865},Time")</f>
        <v>16:36:22</v>
      </c>
      <c r="M23" t="str">
        <f>RTD("profrtd",,"Live","{46865},Date")</f>
        <v>21/07/2017</v>
      </c>
    </row>
    <row r="24" spans="1:13">
      <c r="A24" t="str">
        <f>RTD("profrtd",,"Live","{37386},Symbol")</f>
        <v>NPP-W2</v>
      </c>
      <c r="B24">
        <f>RTD("profrtd",,"Live","{37386},Last")</f>
        <v>0.24</v>
      </c>
      <c r="C24">
        <f>RTD("profrtd",,"Live","{37386},NumT")</f>
        <v>2497</v>
      </c>
      <c r="D24">
        <f>RTD("profrtd",,"Live","{37386},PNumTicks")</f>
        <v>1208</v>
      </c>
      <c r="E24">
        <f>RTD("profrtd",,"Live","{37386},P2NumTicks")</f>
        <v>389</v>
      </c>
      <c r="F24">
        <f>RTD("profrtd",,"Live","{37386},BuyVol")</f>
        <v>49432700</v>
      </c>
      <c r="G24">
        <f>RTD("profrtd",,"Live","{37386},SellVol")</f>
        <v>46273400</v>
      </c>
      <c r="H24">
        <f>RTD("profrtd",,"Live","{37386},Change")</f>
        <v>0.01</v>
      </c>
      <c r="I24">
        <f>RTD("profrtd",,"Live","{37386},Volume")</f>
        <v>98234100</v>
      </c>
      <c r="J24">
        <f>RTD("profrtd",,"Live","{37386},Value")</f>
        <v>29482803</v>
      </c>
      <c r="K24">
        <f>RTD("profrtd",,"Live","{37386},MktCap.")</f>
        <v>14383653.84</v>
      </c>
      <c r="L24" t="str">
        <f>RTD("profrtd",,"Live","{37386},Time")</f>
        <v>16:36:22</v>
      </c>
      <c r="M24" t="str">
        <f>RTD("profrtd",,"Live","{37386},Date")</f>
        <v>21/07/2017</v>
      </c>
    </row>
    <row r="25" spans="1:13">
      <c r="A25" t="str">
        <f>RTD("profrtd",,"Live","{35466},Symbol")</f>
        <v>EPG</v>
      </c>
      <c r="B25">
        <f>RTD("profrtd",,"Live","{35466},Last")</f>
        <v>10.8</v>
      </c>
      <c r="C25">
        <f>RTD("profrtd",,"Live","{35466},NumT")</f>
        <v>2690</v>
      </c>
      <c r="D25">
        <f>RTD("profrtd",,"Live","{35466},PNumTicks")</f>
        <v>1905</v>
      </c>
      <c r="E25">
        <f>RTD("profrtd",,"Live","{35466},P2NumTicks")</f>
        <v>928</v>
      </c>
      <c r="F25">
        <f>RTD("profrtd",,"Live","{35466},BuyVol")</f>
        <v>7093000</v>
      </c>
      <c r="G25">
        <f>RTD("profrtd",,"Live","{35466},SellVol")</f>
        <v>13479100</v>
      </c>
      <c r="H25">
        <f>RTD("profrtd",,"Live","{35466},Change")</f>
        <v>-0.5</v>
      </c>
      <c r="I25">
        <f>RTD("profrtd",,"Live","{35466},Volume")</f>
        <v>22461600</v>
      </c>
      <c r="J25">
        <f>RTD("profrtd",,"Live","{35466},Value")</f>
        <v>245298370</v>
      </c>
      <c r="K25">
        <f>RTD("profrtd",,"Live","{35466},MktCap.")</f>
        <v>30240000000</v>
      </c>
      <c r="L25" t="str">
        <f>RTD("profrtd",,"Live","{35466},Time")</f>
        <v>16:36:19</v>
      </c>
      <c r="M25" t="str">
        <f>RTD("profrtd",,"Live","{35466},Date")</f>
        <v>21/07/2017</v>
      </c>
    </row>
    <row r="26" spans="1:13">
      <c r="A26" t="str">
        <f>RTD("profrtd",,"Live","{105304},Symbol")</f>
        <v>CRANE-W1</v>
      </c>
      <c r="B26">
        <f>RTD("profrtd",,"Live","{105304},Last")</f>
        <v>1</v>
      </c>
      <c r="C26">
        <f>RTD("profrtd",,"Live","{105304},NumT")</f>
        <v>2598</v>
      </c>
      <c r="D26">
        <f>RTD("profrtd",,"Live","{105304},PNumTicks")</f>
        <v>3065</v>
      </c>
      <c r="E26">
        <f>RTD("profrtd",,"Live","{105304},P2NumTicks")</f>
        <v>9530</v>
      </c>
      <c r="F26">
        <f>RTD("profrtd",,"Live","{105304},BuyVol")</f>
        <v>20079600</v>
      </c>
      <c r="G26">
        <f>RTD("profrtd",,"Live","{105304},SellVol")</f>
        <v>21740300</v>
      </c>
      <c r="H26">
        <f>RTD("profrtd",,"Live","{105304},Change")</f>
        <v>-0.05</v>
      </c>
      <c r="I26">
        <f>RTD("profrtd",,"Live","{105304},Volume")</f>
        <v>46343400</v>
      </c>
      <c r="J26">
        <f>RTD("profrtd",,"Live","{105304},Value")</f>
        <v>51525886</v>
      </c>
      <c r="K26">
        <f>RTD("profrtd",,"Live","{105304},MktCap.")</f>
        <v>60633189</v>
      </c>
      <c r="L26" t="str">
        <f>RTD("profrtd",,"Live","{105304},Time")</f>
        <v>16:36:15</v>
      </c>
      <c r="M26" t="str">
        <f>RTD("profrtd",,"Live","{105304},Date")</f>
        <v>21/07/2017</v>
      </c>
    </row>
    <row r="27" spans="1:13">
      <c r="A27" t="str">
        <f>RTD("profrtd",,"Live","{1103},Symbol")</f>
        <v>SCB</v>
      </c>
      <c r="B27">
        <f>RTD("profrtd",,"Live","{1103},Last")</f>
        <v>151</v>
      </c>
      <c r="C27">
        <f>RTD("profrtd",,"Live","{1103},NumT")</f>
        <v>3449</v>
      </c>
      <c r="D27">
        <f>RTD("profrtd",,"Live","{1103},PNumTicks")</f>
        <v>4066</v>
      </c>
      <c r="E27">
        <f>RTD("profrtd",,"Live","{1103},P2NumTicks")</f>
        <v>2435</v>
      </c>
      <c r="F27">
        <f>RTD("profrtd",,"Live","{1103},BuyVol")</f>
        <v>3699500</v>
      </c>
      <c r="G27">
        <f>RTD("profrtd",,"Live","{1103},SellVol")</f>
        <v>4561100</v>
      </c>
      <c r="H27">
        <f>RTD("profrtd",,"Live","{1103},Change")</f>
        <v>-1</v>
      </c>
      <c r="I27">
        <f>RTD("profrtd",,"Live","{1103},Volume")</f>
        <v>9708600</v>
      </c>
      <c r="J27">
        <f>RTD("profrtd",,"Live","{1103},Value")</f>
        <v>1473590250</v>
      </c>
      <c r="K27">
        <f>RTD("profrtd",,"Live","{1103},MktCap.")</f>
        <v>512705483956</v>
      </c>
      <c r="L27" t="str">
        <f>RTD("profrtd",,"Live","{1103},Time")</f>
        <v>16:36:16</v>
      </c>
      <c r="M27" t="str">
        <f>RTD("profrtd",,"Live","{1103},Date")</f>
        <v>21/07/2017</v>
      </c>
    </row>
    <row r="28" spans="1:13">
      <c r="A28" t="str">
        <f>RTD("profrtd",,"Live","{2183},Symbol")</f>
        <v>SUPER</v>
      </c>
      <c r="B28">
        <f>RTD("profrtd",,"Live","{2183},Last")</f>
        <v>1.27</v>
      </c>
      <c r="C28">
        <f>RTD("profrtd",,"Live","{2183},NumT")</f>
        <v>2361</v>
      </c>
      <c r="D28">
        <f>RTD("profrtd",,"Live","{2183},PNumTicks")</f>
        <v>1413</v>
      </c>
      <c r="E28">
        <f>RTD("profrtd",,"Live","{2183},P2NumTicks")</f>
        <v>3673</v>
      </c>
      <c r="F28">
        <f>RTD("profrtd",,"Live","{2183},BuyVol")</f>
        <v>104507000</v>
      </c>
      <c r="G28">
        <f>RTD("profrtd",,"Live","{2183},SellVol")</f>
        <v>46265300</v>
      </c>
      <c r="H28">
        <f>RTD("profrtd",,"Live","{2183},Change")</f>
        <v>0.01</v>
      </c>
      <c r="I28">
        <f>RTD("profrtd",,"Live","{2183},Volume")</f>
        <v>179307300</v>
      </c>
      <c r="J28">
        <f>RTD("profrtd",,"Live","{2183},Value")</f>
        <v>229160361</v>
      </c>
      <c r="K28">
        <f>RTD("profrtd",,"Live","{2183},MktCap.")</f>
        <v>34733821320.889999</v>
      </c>
      <c r="L28" t="str">
        <f>RTD("profrtd",,"Live","{2183},Time")</f>
        <v>16:36:21</v>
      </c>
      <c r="M28" t="str">
        <f>RTD("profrtd",,"Live","{2183},Date")</f>
        <v>21/07/2017</v>
      </c>
    </row>
    <row r="29" spans="1:13">
      <c r="A29" t="str">
        <f>RTD("profrtd",,"Live","{2937},Symbol")</f>
        <v>KTB</v>
      </c>
      <c r="B29">
        <f>RTD("profrtd",,"Live","{2937},Last")</f>
        <v>18.2</v>
      </c>
      <c r="C29">
        <f>RTD("profrtd",,"Live","{2937},NumT")</f>
        <v>2619</v>
      </c>
      <c r="D29">
        <f>RTD("profrtd",,"Live","{2937},PNumTicks")</f>
        <v>5639</v>
      </c>
      <c r="E29">
        <f>RTD("profrtd",,"Live","{2937},P2NumTicks")</f>
        <v>2232</v>
      </c>
      <c r="F29">
        <f>RTD("profrtd",,"Live","{2937},BuyVol")</f>
        <v>26644800</v>
      </c>
      <c r="G29">
        <f>RTD("profrtd",,"Live","{2937},SellVol")</f>
        <v>26229400</v>
      </c>
      <c r="H29">
        <f>RTD("profrtd",,"Live","{2937},Change")</f>
        <v>0.1</v>
      </c>
      <c r="I29">
        <f>RTD("profrtd",,"Live","{2937},Volume")</f>
        <v>58111300</v>
      </c>
      <c r="J29">
        <f>RTD("profrtd",,"Live","{2937},Value")</f>
        <v>1058786430</v>
      </c>
      <c r="K29">
        <f>RTD("profrtd",,"Live","{2937},MktCap.")</f>
        <v>254364314750</v>
      </c>
      <c r="L29" t="str">
        <f>RTD("profrtd",,"Live","{2937},Time")</f>
        <v>16:36:16</v>
      </c>
      <c r="M29" t="str">
        <f>RTD("profrtd",,"Live","{2937},Date")</f>
        <v>21/07/2017</v>
      </c>
    </row>
    <row r="30" spans="1:13">
      <c r="A30" t="str">
        <f>RTD("profrtd",,"Live","{85712},Symbol")</f>
        <v>SPORT-W5</v>
      </c>
      <c r="B30">
        <f>RTD("profrtd",,"Live","{85712},Last")</f>
        <v>0.47</v>
      </c>
      <c r="C30">
        <f>RTD("profrtd",,"Live","{85712},NumT")</f>
        <v>4005</v>
      </c>
      <c r="D30">
        <f>RTD("profrtd",,"Live","{85712},PNumTicks")</f>
        <v>321</v>
      </c>
      <c r="E30">
        <f>RTD("profrtd",,"Live","{85712},P2NumTicks")</f>
        <v>621</v>
      </c>
      <c r="F30">
        <f>RTD("profrtd",,"Live","{85712},BuyVol")</f>
        <v>58189800</v>
      </c>
      <c r="G30">
        <f>RTD("profrtd",,"Live","{85712},SellVol")</f>
        <v>50534600</v>
      </c>
      <c r="H30">
        <f>RTD("profrtd",,"Live","{85712},Change")</f>
        <v>0.03</v>
      </c>
      <c r="I30">
        <f>RTD("profrtd",,"Live","{85712},Volume")</f>
        <v>113074600</v>
      </c>
      <c r="J30">
        <f>RTD("profrtd",,"Live","{85712},Value")</f>
        <v>62297399</v>
      </c>
      <c r="K30">
        <f>RTD("profrtd",,"Live","{85712},MktCap.")</f>
        <v>44274771.740000002</v>
      </c>
      <c r="L30" t="str">
        <f>RTD("profrtd",,"Live","{85712},Time")</f>
        <v>16:36:20</v>
      </c>
      <c r="M30" t="str">
        <f>RTD("profrtd",,"Live","{85712},Date")</f>
        <v>21/07/2017</v>
      </c>
    </row>
    <row r="31" spans="1:13">
      <c r="A31" t="str">
        <f>RTD("profrtd",,"Live","{49129},Symbol")</f>
        <v>GUNKUL-W</v>
      </c>
      <c r="B31">
        <f>RTD("profrtd",,"Live","{49129},Last")</f>
        <v>1</v>
      </c>
      <c r="C31">
        <f>RTD("profrtd",,"Live","{49129},NumT")</f>
        <v>2085</v>
      </c>
      <c r="D31">
        <f>RTD("profrtd",,"Live","{49129},PNumTicks")</f>
        <v>5477</v>
      </c>
      <c r="E31">
        <f>RTD("profrtd",,"Live","{49129},P2NumTicks")</f>
        <v>9015</v>
      </c>
      <c r="F31">
        <f>RTD("profrtd",,"Live","{49129},BuyVol")</f>
        <v>5875300</v>
      </c>
      <c r="G31">
        <f>RTD("profrtd",,"Live","{49129},SellVol")</f>
        <v>7487300</v>
      </c>
      <c r="H31">
        <f>RTD("profrtd",,"Live","{49129},Change")</f>
        <v>-0.34</v>
      </c>
      <c r="I31">
        <f>RTD("profrtd",,"Live","{49129},Volume")</f>
        <v>15446000</v>
      </c>
      <c r="J31">
        <f>RTD("profrtd",,"Live","{49129},Value")</f>
        <v>19819709</v>
      </c>
      <c r="K31">
        <f>RTD("profrtd",,"Live","{49129},MktCap.")</f>
        <v>91660074</v>
      </c>
      <c r="L31" t="str">
        <f>RTD("profrtd",,"Live","{49129},Time")</f>
        <v>16:36:21</v>
      </c>
      <c r="M31" t="str">
        <f>RTD("profrtd",,"Live","{49129},Date")</f>
        <v>21/07/2017</v>
      </c>
    </row>
    <row r="32" spans="1:13">
      <c r="A32" t="str">
        <f>RTD("profrtd",,"Live","{62729},Symbol")</f>
        <v>SPRC</v>
      </c>
      <c r="B32">
        <f>RTD("profrtd",,"Live","{62729},Last")</f>
        <v>15.7</v>
      </c>
      <c r="C32">
        <f>RTD("profrtd",,"Live","{62729},NumT")</f>
        <v>2650</v>
      </c>
      <c r="D32">
        <f>RTD("profrtd",,"Live","{62729},PNumTicks")</f>
        <v>2062</v>
      </c>
      <c r="E32">
        <f>RTD("profrtd",,"Live","{62729},P2NumTicks")</f>
        <v>2120</v>
      </c>
      <c r="F32">
        <f>RTD("profrtd",,"Live","{62729},BuyVol")</f>
        <v>14973700</v>
      </c>
      <c r="G32">
        <f>RTD("profrtd",,"Live","{62729},SellVol")</f>
        <v>8446100</v>
      </c>
      <c r="H32">
        <f>RTD("profrtd",,"Live","{62729},Change")</f>
        <v>0.6</v>
      </c>
      <c r="I32">
        <f>RTD("profrtd",,"Live","{62729},Volume")</f>
        <v>25693600</v>
      </c>
      <c r="J32">
        <f>RTD("profrtd",,"Live","{62729},Value")</f>
        <v>397469870</v>
      </c>
      <c r="K32">
        <f>RTD("profrtd",,"Live","{62729},MktCap.")</f>
        <v>68073663362.5</v>
      </c>
      <c r="L32" t="str">
        <f>RTD("profrtd",,"Live","{62729},Time")</f>
        <v>16:36:19</v>
      </c>
      <c r="M32" t="str">
        <f>RTD("profrtd",,"Live","{62729},Date")</f>
        <v>21/07/2017</v>
      </c>
    </row>
    <row r="33" spans="1:13">
      <c r="A33" t="str">
        <f>RTD("profrtd",,"Live","{917},Symbol")</f>
        <v>TRUE</v>
      </c>
      <c r="B33">
        <f>RTD("profrtd",,"Live","{917},Last")</f>
        <v>5.75</v>
      </c>
      <c r="C33">
        <f>RTD("profrtd",,"Live","{917},NumT")</f>
        <v>4684</v>
      </c>
      <c r="D33">
        <f>RTD("profrtd",,"Live","{917},PNumTicks")</f>
        <v>2893</v>
      </c>
      <c r="E33">
        <f>RTD("profrtd",,"Live","{917},P2NumTicks")</f>
        <v>2557</v>
      </c>
      <c r="F33">
        <f>RTD("profrtd",,"Live","{917},BuyVol")</f>
        <v>42755600</v>
      </c>
      <c r="G33">
        <f>RTD("profrtd",,"Live","{917},SellVol")</f>
        <v>81340000</v>
      </c>
      <c r="H33">
        <f>RTD("profrtd",,"Live","{917},Change")</f>
        <v>-0.15</v>
      </c>
      <c r="I33">
        <f>RTD("profrtd",,"Live","{917},Volume")</f>
        <v>135066400</v>
      </c>
      <c r="J33">
        <f>RTD("profrtd",,"Live","{917},Value")</f>
        <v>784910595</v>
      </c>
      <c r="K33">
        <f>RTD("profrtd",,"Live","{917},MktCap.")</f>
        <v>191867122980.75</v>
      </c>
      <c r="L33" t="str">
        <f>RTD("profrtd",,"Live","{917},Time")</f>
        <v>16:36:21</v>
      </c>
      <c r="M33" t="str">
        <f>RTD("profrtd",,"Live","{917},Date")</f>
        <v>21/07/2017</v>
      </c>
    </row>
    <row r="34" spans="1:13">
      <c r="A34" t="str">
        <f>RTD("profrtd",,"Live","{1170},Symbol")</f>
        <v>SVI</v>
      </c>
      <c r="B34">
        <f>RTD("profrtd",,"Live","{1170},Last")</f>
        <v>5.75</v>
      </c>
      <c r="C34">
        <f>RTD("profrtd",,"Live","{1170},NumT")</f>
        <v>2068</v>
      </c>
      <c r="D34">
        <f>RTD("profrtd",,"Live","{1170},PNumTicks")</f>
        <v>228</v>
      </c>
      <c r="E34">
        <f>RTD("profrtd",,"Live","{1170},P2NumTicks")</f>
        <v>439</v>
      </c>
      <c r="F34">
        <f>RTD("profrtd",,"Live","{1170},BuyVol")</f>
        <v>7584000</v>
      </c>
      <c r="G34">
        <f>RTD("profrtd",,"Live","{1170},SellVol")</f>
        <v>12394900</v>
      </c>
      <c r="H34">
        <f>RTD("profrtd",,"Live","{1170},Change")</f>
        <v>-0.15</v>
      </c>
      <c r="I34">
        <f>RTD("profrtd",,"Live","{1170},Volume")</f>
        <v>21149400</v>
      </c>
      <c r="J34">
        <f>RTD("profrtd",,"Live","{1170},Value")</f>
        <v>120637530</v>
      </c>
      <c r="K34">
        <f>RTD("profrtd",,"Live","{1170},MktCap.")</f>
        <v>13028058940.75</v>
      </c>
      <c r="L34" t="str">
        <f>RTD("profrtd",,"Live","{1170},Time")</f>
        <v>16:36:22</v>
      </c>
      <c r="M34" t="str">
        <f>RTD("profrtd",,"Live","{1170},Date")</f>
        <v>21/07/2017</v>
      </c>
    </row>
    <row r="35" spans="1:13">
      <c r="A35" t="str">
        <f>RTD("profrtd",,"Live","{44672},Symbol")</f>
        <v>SMART-W1</v>
      </c>
      <c r="B35">
        <f>RTD("profrtd",,"Live","{44672},Last")</f>
        <v>0.18</v>
      </c>
      <c r="C35">
        <f>RTD("profrtd",,"Live","{44672},NumT")</f>
        <v>2618</v>
      </c>
      <c r="D35">
        <f>RTD("profrtd",,"Live","{44672},PNumTicks")</f>
        <v>548</v>
      </c>
      <c r="E35">
        <f>RTD("profrtd",,"Live","{44672},P2NumTicks")</f>
        <v>141</v>
      </c>
      <c r="F35">
        <f>RTD("profrtd",,"Live","{44672},BuyVol")</f>
        <v>84490300</v>
      </c>
      <c r="G35">
        <f>RTD("profrtd",,"Live","{44672},SellVol")</f>
        <v>70562000</v>
      </c>
      <c r="H35">
        <f>RTD("profrtd",,"Live","{44672},Change")</f>
        <v>0.03</v>
      </c>
      <c r="I35">
        <f>RTD("profrtd",,"Live","{44672},Volume")</f>
        <v>158975100</v>
      </c>
      <c r="J35">
        <f>RTD("profrtd",,"Live","{44672},Value")</f>
        <v>33261211</v>
      </c>
      <c r="K35">
        <f>RTD("profrtd",,"Live","{44672},MktCap.")</f>
        <v>33119862.120000001</v>
      </c>
      <c r="L35" t="str">
        <f>RTD("profrtd",,"Live","{44672},Time")</f>
        <v>16:36:20</v>
      </c>
      <c r="M35" t="str">
        <f>RTD("profrtd",,"Live","{44672},Date")</f>
        <v>21/07/2017</v>
      </c>
    </row>
    <row r="36" spans="1:13">
      <c r="A36" t="str">
        <f>RTD("profrtd",,"Live","{75467},Symbol")</f>
        <v>TMC-W1</v>
      </c>
      <c r="B36">
        <f>RTD("profrtd",,"Live","{75467},Last")</f>
        <v>0.53</v>
      </c>
      <c r="C36">
        <f>RTD("profrtd",,"Live","{75467},NumT")</f>
        <v>2113</v>
      </c>
      <c r="D36">
        <f>RTD("profrtd",,"Live","{75467},PNumTicks")</f>
        <v>4781</v>
      </c>
      <c r="E36">
        <f>RTD("profrtd",,"Live","{75467},P2NumTicks")</f>
        <v>4354</v>
      </c>
      <c r="F36">
        <f>RTD("profrtd",,"Live","{75467},BuyVol")</f>
        <v>29591100</v>
      </c>
      <c r="G36">
        <f>RTD("profrtd",,"Live","{75467},SellVol")</f>
        <v>31454100</v>
      </c>
      <c r="H36">
        <f>RTD("profrtd",,"Live","{75467},Change")</f>
        <v>-0.11</v>
      </c>
      <c r="I36">
        <f>RTD("profrtd",,"Live","{75467},Volume")</f>
        <v>71102000</v>
      </c>
      <c r="J36">
        <f>RTD("profrtd",,"Live","{75467},Value")</f>
        <v>43938202</v>
      </c>
      <c r="K36">
        <f>RTD("profrtd",,"Live","{75467},MktCap.")</f>
        <v>95216035.939999998</v>
      </c>
      <c r="L36" t="str">
        <f>RTD("profrtd",,"Live","{75467},Time")</f>
        <v>16:36:16</v>
      </c>
      <c r="M36" t="str">
        <f>RTD("profrtd",,"Live","{75467},Date")</f>
        <v>21/07/2017</v>
      </c>
    </row>
    <row r="37" spans="1:13">
      <c r="A37" t="str">
        <f>RTD("profrtd",,"Live","{2781},Symbol")</f>
        <v>IRPC</v>
      </c>
      <c r="B37">
        <f>RTD("profrtd",,"Live","{2781},Last")</f>
        <v>5.2</v>
      </c>
      <c r="C37">
        <f>RTD("profrtd",,"Live","{2781},NumT")</f>
        <v>2517</v>
      </c>
      <c r="D37">
        <f>RTD("profrtd",,"Live","{2781},PNumTicks")</f>
        <v>1948</v>
      </c>
      <c r="E37">
        <f>RTD("profrtd",,"Live","{2781},P2NumTicks")</f>
        <v>2456</v>
      </c>
      <c r="F37">
        <f>RTD("profrtd",,"Live","{2781},BuyVol")</f>
        <v>62537000</v>
      </c>
      <c r="G37">
        <f>RTD("profrtd",,"Live","{2781},SellVol")</f>
        <v>52759700</v>
      </c>
      <c r="H37">
        <f>RTD("profrtd",,"Live","{2781},Change")</f>
        <v>0</v>
      </c>
      <c r="I37">
        <f>RTD("profrtd",,"Live","{2781},Volume")</f>
        <v>127782800</v>
      </c>
      <c r="J37">
        <f>RTD("profrtd",,"Live","{2781},Value")</f>
        <v>668152805</v>
      </c>
      <c r="K37">
        <f>RTD("profrtd",,"Live","{2781},MktCap.")</f>
        <v>106258980079.2</v>
      </c>
      <c r="L37" t="str">
        <f>RTD("profrtd",,"Live","{2781},Time")</f>
        <v>16:36:18</v>
      </c>
      <c r="M37" t="str">
        <f>RTD("profrtd",,"Live","{2781},Date")</f>
        <v>21/07/2017</v>
      </c>
    </row>
    <row r="38" spans="1:13">
      <c r="A38" t="str">
        <f>RTD("profrtd",,"Live","{844},Symbol")</f>
        <v>PTTGC</v>
      </c>
      <c r="B38">
        <f>RTD("profrtd",,"Live","{844},Last")</f>
        <v>70</v>
      </c>
      <c r="C38">
        <f>RTD("profrtd",,"Live","{844},NumT")</f>
        <v>2437</v>
      </c>
      <c r="D38">
        <f>RTD("profrtd",,"Live","{844},PNumTicks")</f>
        <v>3102</v>
      </c>
      <c r="E38">
        <f>RTD("profrtd",,"Live","{844},P2NumTicks")</f>
        <v>2187</v>
      </c>
      <c r="F38">
        <f>RTD("profrtd",,"Live","{844},BuyVol")</f>
        <v>3711500</v>
      </c>
      <c r="G38">
        <f>RTD("profrtd",,"Live","{844},SellVol")</f>
        <v>4855000</v>
      </c>
      <c r="H38">
        <f>RTD("profrtd",,"Live","{844},Change")</f>
        <v>0</v>
      </c>
      <c r="I38">
        <f>RTD("profrtd",,"Live","{844},Volume")</f>
        <v>9543400</v>
      </c>
      <c r="J38">
        <f>RTD("profrtd",,"Live","{844},Value")</f>
        <v>667921325</v>
      </c>
      <c r="K38">
        <f>RTD("profrtd",,"Live","{844},MktCap.")</f>
        <v>315619438190</v>
      </c>
      <c r="L38" t="str">
        <f>RTD("profrtd",,"Live","{844},Time")</f>
        <v>16:36:16</v>
      </c>
      <c r="M38" t="str">
        <f>RTD("profrtd",,"Live","{844},Date")</f>
        <v>21/07/2017</v>
      </c>
    </row>
    <row r="39" spans="1:13">
      <c r="A39" t="str">
        <f>RTD("profrtd",,"Live","{847},Symbol")</f>
        <v>HANA</v>
      </c>
      <c r="B39">
        <f>RTD("profrtd",,"Live","{847},Last")</f>
        <v>45</v>
      </c>
      <c r="C39">
        <f>RTD("profrtd",,"Live","{847},NumT")</f>
        <v>2010</v>
      </c>
      <c r="D39">
        <f>RTD("profrtd",,"Live","{847},PNumTicks")</f>
        <v>2071</v>
      </c>
      <c r="E39">
        <f>RTD("profrtd",,"Live","{847},P2NumTicks")</f>
        <v>1655</v>
      </c>
      <c r="F39">
        <f>RTD("profrtd",,"Live","{847},BuyVol")</f>
        <v>2412400</v>
      </c>
      <c r="G39">
        <f>RTD("profrtd",,"Live","{847},SellVol")</f>
        <v>2960100</v>
      </c>
      <c r="H39">
        <f>RTD("profrtd",,"Live","{847},Change")</f>
        <v>-1.25</v>
      </c>
      <c r="I39">
        <f>RTD("profrtd",,"Live","{847},Volume")</f>
        <v>5739200</v>
      </c>
      <c r="J39">
        <f>RTD("profrtd",,"Live","{847},Value")</f>
        <v>259528225</v>
      </c>
      <c r="K39">
        <f>RTD("profrtd",,"Live","{847},MktCap.")</f>
        <v>36219548700</v>
      </c>
      <c r="L39" t="str">
        <f>RTD("profrtd",,"Live","{847},Time")</f>
        <v>16:36:22</v>
      </c>
      <c r="M39" t="str">
        <f>RTD("profrtd",,"Live","{847},Date")</f>
        <v>21/07/2017</v>
      </c>
    </row>
    <row r="40" spans="1:13">
      <c r="A40" t="str">
        <f>RTD("profrtd",,"Live","{102551},Symbol")</f>
        <v>NPP-W3</v>
      </c>
      <c r="B40">
        <f>RTD("profrtd",,"Live","{102551},Last")</f>
        <v>0.23</v>
      </c>
      <c r="C40">
        <f>RTD("profrtd",,"Live","{102551},NumT")</f>
        <v>1564</v>
      </c>
      <c r="D40">
        <f>RTD("profrtd",,"Live","{102551},PNumTicks")</f>
        <v>662</v>
      </c>
      <c r="E40">
        <f>RTD("profrtd",,"Live","{102551},P2NumTicks")</f>
        <v>84</v>
      </c>
      <c r="F40">
        <f>RTD("profrtd",,"Live","{102551},BuyVol")</f>
        <v>62210800</v>
      </c>
      <c r="G40">
        <f>RTD("profrtd",,"Live","{102551},SellVol")</f>
        <v>77116600</v>
      </c>
      <c r="H40">
        <f>RTD("profrtd",,"Live","{102551},Change")</f>
        <v>-0.03</v>
      </c>
      <c r="I40">
        <f>RTD("profrtd",,"Live","{102551},Volume")</f>
        <v>144421200</v>
      </c>
      <c r="J40">
        <f>RTD("profrtd",,"Live","{102551},Value")</f>
        <v>37224666</v>
      </c>
      <c r="K40">
        <f>RTD("profrtd",,"Live","{102551},MktCap.")</f>
        <v>57079721.460000001</v>
      </c>
      <c r="L40" t="str">
        <f>RTD("profrtd",,"Live","{102551},Time")</f>
        <v>16:36:22</v>
      </c>
      <c r="M40" t="str">
        <f>RTD("profrtd",,"Live","{102551},Date")</f>
        <v>21/07/2017</v>
      </c>
    </row>
    <row r="41" spans="1:13">
      <c r="A41" t="str">
        <f>RTD("profrtd",,"Live","{2953},Symbol")</f>
        <v>KBANK</v>
      </c>
      <c r="B41">
        <f>RTD("profrtd",,"Live","{2953},Last")</f>
        <v>197</v>
      </c>
      <c r="C41">
        <f>RTD("profrtd",,"Live","{2953},NumT")</f>
        <v>1891</v>
      </c>
      <c r="D41">
        <f>RTD("profrtd",,"Live","{2953},PNumTicks")</f>
        <v>2301</v>
      </c>
      <c r="E41">
        <f>RTD("profrtd",,"Live","{2953},P2NumTicks")</f>
        <v>1214</v>
      </c>
      <c r="F41">
        <f>RTD("profrtd",,"Live","{2953},BuyVol")</f>
        <v>2745000</v>
      </c>
      <c r="G41">
        <f>RTD("profrtd",,"Live","{2953},SellVol")</f>
        <v>3112200</v>
      </c>
      <c r="H41">
        <f>RTD("profrtd",,"Live","{2953},Change")</f>
        <v>1.5</v>
      </c>
      <c r="I41">
        <f>RTD("profrtd",,"Live","{2953},Volume")</f>
        <v>6327700</v>
      </c>
      <c r="J41">
        <f>RTD("profrtd",,"Live","{2953},Value")</f>
        <v>1248363600</v>
      </c>
      <c r="K41">
        <f>RTD("profrtd",,"Live","{2953},MktCap.")</f>
        <v>471472258021</v>
      </c>
      <c r="L41" t="str">
        <f>RTD("profrtd",,"Live","{2953},Time")</f>
        <v>16:36:18</v>
      </c>
      <c r="M41" t="str">
        <f>RTD("profrtd",,"Live","{2953},Date")</f>
        <v>21/07/2017</v>
      </c>
    </row>
    <row r="42" spans="1:13">
      <c r="A42" t="str">
        <f>RTD("profrtd",,"Live","{104511},Symbol")</f>
        <v>CI-W1</v>
      </c>
      <c r="B42">
        <f>RTD("profrtd",,"Live","{104511},Last")</f>
        <v>0.6</v>
      </c>
      <c r="C42">
        <f>RTD("profrtd",,"Live","{104511},NumT")</f>
        <v>1638</v>
      </c>
      <c r="D42">
        <f>RTD("profrtd",,"Live","{104511},PNumTicks")</f>
        <v>2096</v>
      </c>
      <c r="E42">
        <f>RTD("profrtd",,"Live","{104511},P2NumTicks")</f>
        <v>6582</v>
      </c>
      <c r="F42">
        <f>RTD("profrtd",,"Live","{104511},BuyVol")</f>
        <v>11442900</v>
      </c>
      <c r="G42">
        <f>RTD("profrtd",,"Live","{104511},SellVol")</f>
        <v>19803400</v>
      </c>
      <c r="H42">
        <f>RTD("profrtd",,"Live","{104511},Change")</f>
        <v>-0.22</v>
      </c>
      <c r="I42">
        <f>RTD("profrtd",,"Live","{104511},Volume")</f>
        <v>38966400</v>
      </c>
      <c r="J42">
        <f>RTD("profrtd",,"Live","{104511},Value")</f>
        <v>28201067</v>
      </c>
      <c r="K42">
        <f>RTD("profrtd",,"Live","{104511},MktCap.")</f>
        <v>59313179.399999999</v>
      </c>
      <c r="L42" t="str">
        <f>RTD("profrtd",,"Live","{104511},Time")</f>
        <v>16:36:18</v>
      </c>
      <c r="M42" t="str">
        <f>RTD("profrtd",,"Live","{104511},Date")</f>
        <v>21/07/2017</v>
      </c>
    </row>
    <row r="43" spans="1:13">
      <c r="A43" t="str">
        <f>RTD("profrtd",,"Live","{33088},Symbol")</f>
        <v>IVL-W1</v>
      </c>
      <c r="B43">
        <f>RTD("profrtd",,"Live","{33088},Last")</f>
        <v>0.35</v>
      </c>
      <c r="C43">
        <f>RTD("profrtd",,"Live","{33088},NumT")</f>
        <v>2428</v>
      </c>
      <c r="D43">
        <f>RTD("profrtd",,"Live","{33088},PNumTicks")</f>
        <v>2057</v>
      </c>
      <c r="E43">
        <f>RTD("profrtd",,"Live","{33088},P2NumTicks")</f>
        <v>7115</v>
      </c>
      <c r="F43">
        <f>RTD("profrtd",,"Live","{33088},BuyVol")</f>
        <v>26934700</v>
      </c>
      <c r="G43">
        <f>RTD("profrtd",,"Live","{33088},SellVol")</f>
        <v>34762000</v>
      </c>
      <c r="H43">
        <f>RTD("profrtd",,"Live","{33088},Change")</f>
        <v>-0.19</v>
      </c>
      <c r="I43">
        <f>RTD("profrtd",,"Live","{33088},Volume")</f>
        <v>73213900</v>
      </c>
      <c r="J43">
        <f>RTD("profrtd",,"Live","{33088},Value")</f>
        <v>28845945</v>
      </c>
      <c r="K43">
        <f>RTD("profrtd",,"Live","{33088},MktCap.")</f>
        <v>168474178.94999999</v>
      </c>
      <c r="L43" t="str">
        <f>RTD("profrtd",,"Live","{33088},Time")</f>
        <v>16:36:21</v>
      </c>
      <c r="M43" t="str">
        <f>RTD("profrtd",,"Live","{33088},Date")</f>
        <v>21/07/2017</v>
      </c>
    </row>
    <row r="44" spans="1:13">
      <c r="A44" t="str">
        <f>RTD("profrtd",,"Live","{104340},Symbol")</f>
        <v>JMART-W2</v>
      </c>
      <c r="B44">
        <f>RTD("profrtd",,"Live","{104340},Last")</f>
        <v>4.12</v>
      </c>
      <c r="C44">
        <f>RTD("profrtd",,"Live","{104340},NumT")</f>
        <v>2390</v>
      </c>
      <c r="D44">
        <f>RTD("profrtd",,"Live","{104340},PNumTicks")</f>
        <v>2578</v>
      </c>
      <c r="E44">
        <f>RTD("profrtd",,"Live","{104340},P2NumTicks")</f>
        <v>6975</v>
      </c>
      <c r="F44">
        <f>RTD("profrtd",,"Live","{104340},BuyVol")</f>
        <v>13199700</v>
      </c>
      <c r="G44">
        <f>RTD("profrtd",,"Live","{104340},SellVol")</f>
        <v>14097900</v>
      </c>
      <c r="H44">
        <f>RTD("profrtd",,"Live","{104340},Change")</f>
        <v>-0.16</v>
      </c>
      <c r="I44">
        <f>RTD("profrtd",,"Live","{104340},Volume")</f>
        <v>28792200</v>
      </c>
      <c r="J44">
        <f>RTD("profrtd",,"Live","{104340},Value")</f>
        <v>124011492</v>
      </c>
      <c r="K44">
        <f>RTD("profrtd",,"Live","{104340},MktCap.")</f>
        <v>672235914.84000003</v>
      </c>
      <c r="L44" t="str">
        <f>RTD("profrtd",,"Live","{104340},Time")</f>
        <v>16:36:17</v>
      </c>
      <c r="M44" t="str">
        <f>RTD("profrtd",,"Live","{104340},Date")</f>
        <v>21/07/2017</v>
      </c>
    </row>
    <row r="45" spans="1:13">
      <c r="A45" t="str">
        <f>RTD("profrtd",,"Live","{1110},Symbol")</f>
        <v>SCC</v>
      </c>
      <c r="B45">
        <f>RTD("profrtd",,"Live","{1110},Last")</f>
        <v>500</v>
      </c>
      <c r="C45">
        <f>RTD("profrtd",,"Live","{1110},NumT")</f>
        <v>1746</v>
      </c>
      <c r="D45">
        <f>RTD("profrtd",,"Live","{1110},PNumTicks")</f>
        <v>1189</v>
      </c>
      <c r="E45">
        <f>RTD("profrtd",,"Live","{1110},P2NumTicks")</f>
        <v>992</v>
      </c>
      <c r="F45">
        <f>RTD("profrtd",,"Live","{1110},BuyVol")</f>
        <v>490300</v>
      </c>
      <c r="G45">
        <f>RTD("profrtd",,"Live","{1110},SellVol")</f>
        <v>1614200</v>
      </c>
      <c r="H45">
        <f>RTD("profrtd",,"Live","{1110},Change")</f>
        <v>-4</v>
      </c>
      <c r="I45">
        <f>RTD("profrtd",,"Live","{1110},Volume")</f>
        <v>2308400</v>
      </c>
      <c r="J45">
        <f>RTD("profrtd",,"Live","{1110},Value")</f>
        <v>1155521600</v>
      </c>
      <c r="K45">
        <f>RTD("profrtd",,"Live","{1110},MktCap.")</f>
        <v>600000000000</v>
      </c>
      <c r="L45" t="str">
        <f>RTD("profrtd",,"Live","{1110},Time")</f>
        <v>16:36:20</v>
      </c>
      <c r="M45" t="str">
        <f>RTD("profrtd",,"Live","{1110},Date")</f>
        <v>21/07/2017</v>
      </c>
    </row>
    <row r="46" spans="1:13">
      <c r="A46" t="str">
        <f>RTD("profrtd",,"Live","{36970},Symbol")</f>
        <v>BDMS</v>
      </c>
      <c r="B46">
        <f>RTD("profrtd",,"Live","{36970},Last")</f>
        <v>19.100000000000001</v>
      </c>
      <c r="C46">
        <f>RTD("profrtd",,"Live","{36970},NumT")</f>
        <v>1900</v>
      </c>
      <c r="D46">
        <f>RTD("profrtd",,"Live","{36970},PNumTicks")</f>
        <v>1479</v>
      </c>
      <c r="E46">
        <f>RTD("profrtd",,"Live","{36970},P2NumTicks")</f>
        <v>1589</v>
      </c>
      <c r="F46">
        <f>RTD("profrtd",,"Live","{36970},BuyVol")</f>
        <v>9520000</v>
      </c>
      <c r="G46">
        <f>RTD("profrtd",,"Live","{36970},SellVol")</f>
        <v>13158700</v>
      </c>
      <c r="H46">
        <f>RTD("profrtd",,"Live","{36970},Change")</f>
        <v>-0.2</v>
      </c>
      <c r="I46">
        <f>RTD("profrtd",,"Live","{36970},Volume")</f>
        <v>26353300</v>
      </c>
      <c r="J46">
        <f>RTD("profrtd",,"Live","{36970},Value")</f>
        <v>504825000</v>
      </c>
      <c r="K46">
        <f>RTD("profrtd",,"Live","{36970},MktCap.")</f>
        <v>295877269914</v>
      </c>
      <c r="L46" t="str">
        <f>RTD("profrtd",,"Live","{36970},Time")</f>
        <v>16:36:21</v>
      </c>
      <c r="M46" t="str">
        <f>RTD("profrtd",,"Live","{36970},Date")</f>
        <v>21/07/2017</v>
      </c>
    </row>
    <row r="47" spans="1:13">
      <c r="A47" t="str">
        <f>RTD("profrtd",,"Live","{105198},Symbol")</f>
        <v>RICHY-W2</v>
      </c>
      <c r="B47">
        <f>RTD("profrtd",,"Live","{105198},Last")</f>
        <v>0.25</v>
      </c>
      <c r="C47">
        <f>RTD("profrtd",,"Live","{105198},NumT")</f>
        <v>1482</v>
      </c>
      <c r="D47">
        <f>RTD("profrtd",,"Live","{105198},PNumTicks")</f>
        <v>89</v>
      </c>
      <c r="E47">
        <f>RTD("profrtd",,"Live","{105198},P2NumTicks")</f>
        <v>83</v>
      </c>
      <c r="F47">
        <f>RTD("profrtd",,"Live","{105198},BuyVol")</f>
        <v>24604200</v>
      </c>
      <c r="G47">
        <f>RTD("profrtd",,"Live","{105198},SellVol")</f>
        <v>25859000</v>
      </c>
      <c r="H47">
        <f>RTD("profrtd",,"Live","{105198},Change")</f>
        <v>0.03</v>
      </c>
      <c r="I47">
        <f>RTD("profrtd",,"Live","{105198},Volume")</f>
        <v>52715300</v>
      </c>
      <c r="J47">
        <f>RTD("profrtd",,"Live","{105198},Value")</f>
        <v>15467393</v>
      </c>
      <c r="K47">
        <f>RTD("profrtd",,"Live","{105198},MktCap.")</f>
        <v>39269999</v>
      </c>
      <c r="L47" t="str">
        <f>RTD("profrtd",,"Live","{105198},Time")</f>
        <v>16:36:18</v>
      </c>
      <c r="M47" t="str">
        <f>RTD("profrtd",,"Live","{105198},Date")</f>
        <v>21/07/2017</v>
      </c>
    </row>
    <row r="48" spans="1:13">
      <c r="A48" t="str">
        <f>RTD("profrtd",,"Live","{99543},Symbol")</f>
        <v>CEN-W4</v>
      </c>
      <c r="B48">
        <f>RTD("profrtd",,"Live","{99543},Last")</f>
        <v>0.26</v>
      </c>
      <c r="C48">
        <f>RTD("profrtd",,"Live","{99543},NumT")</f>
        <v>1469</v>
      </c>
      <c r="D48">
        <f>RTD("profrtd",,"Live","{99543},PNumTicks")</f>
        <v>92</v>
      </c>
      <c r="E48">
        <f>RTD("profrtd",,"Live","{99543},P2NumTicks")</f>
        <v>357</v>
      </c>
      <c r="F48">
        <f>RTD("profrtd",,"Live","{99543},BuyVol")</f>
        <v>40018300</v>
      </c>
      <c r="G48">
        <f>RTD("profrtd",,"Live","{99543},SellVol")</f>
        <v>42265800</v>
      </c>
      <c r="H48">
        <f>RTD("profrtd",,"Live","{99543},Change")</f>
        <v>0.02</v>
      </c>
      <c r="I48">
        <f>RTD("profrtd",,"Live","{99543},Volume")</f>
        <v>87755900</v>
      </c>
      <c r="J48">
        <f>RTD("profrtd",,"Live","{99543},Value")</f>
        <v>24631938</v>
      </c>
      <c r="K48">
        <f>RTD("profrtd",,"Live","{99543},MktCap.")</f>
        <v>96815303.260000005</v>
      </c>
      <c r="L48" t="str">
        <f>RTD("profrtd",,"Live","{99543},Time")</f>
        <v>16:36:18</v>
      </c>
      <c r="M48" t="str">
        <f>RTD("profrtd",,"Live","{99543},Date")</f>
        <v>21/07/2017</v>
      </c>
    </row>
    <row r="49" spans="1:13">
      <c r="A49" t="str">
        <f>RTD("profrtd",,"Live","{1991},Symbol")</f>
        <v>ADVANC</v>
      </c>
      <c r="B49">
        <f>RTD("profrtd",,"Live","{1991},Last")</f>
        <v>185</v>
      </c>
      <c r="C49">
        <f>RTD("profrtd",,"Live","{1991},NumT")</f>
        <v>1739</v>
      </c>
      <c r="D49">
        <f>RTD("profrtd",,"Live","{1991},PNumTicks")</f>
        <v>1407</v>
      </c>
      <c r="E49">
        <f>RTD("profrtd",,"Live","{1991},P2NumTicks")</f>
        <v>1954</v>
      </c>
      <c r="F49">
        <f>RTD("profrtd",,"Live","{1991},BuyVol")</f>
        <v>2424300</v>
      </c>
      <c r="G49">
        <f>RTD("profrtd",,"Live","{1991},SellVol")</f>
        <v>2189700</v>
      </c>
      <c r="H49">
        <f>RTD("profrtd",,"Live","{1991},Change")</f>
        <v>-2</v>
      </c>
      <c r="I49">
        <f>RTD("profrtd",,"Live","{1991},Volume")</f>
        <v>5315400</v>
      </c>
      <c r="J49">
        <f>RTD("profrtd",,"Live","{1991},Value")</f>
        <v>982813350</v>
      </c>
      <c r="K49">
        <f>RTD("profrtd",,"Live","{1991},MktCap.")</f>
        <v>550022636050</v>
      </c>
      <c r="L49" t="str">
        <f>RTD("profrtd",,"Live","{1991},Time")</f>
        <v>16:36:18</v>
      </c>
      <c r="M49" t="str">
        <f>RTD("profrtd",,"Live","{1991},Date")</f>
        <v>21/07/2017</v>
      </c>
    </row>
    <row r="50" spans="1:13">
      <c r="A50" t="str">
        <f>RTD("profrtd",,"Live","{2949},Symbol")</f>
        <v>KTC</v>
      </c>
      <c r="B50">
        <f>RTD("profrtd",,"Live","{2949},Last")</f>
        <v>111.5</v>
      </c>
      <c r="C50">
        <f>RTD("profrtd",,"Live","{2949},NumT")</f>
        <v>2030</v>
      </c>
      <c r="D50">
        <f>RTD("profrtd",,"Live","{2949},PNumTicks")</f>
        <v>2576</v>
      </c>
      <c r="E50">
        <f>RTD("profrtd",,"Live","{2949},P2NumTicks")</f>
        <v>3855</v>
      </c>
      <c r="F50">
        <f>RTD("profrtd",,"Live","{2949},BuyVol")</f>
        <v>1563000</v>
      </c>
      <c r="G50">
        <f>RTD("profrtd",,"Live","{2949},SellVol")</f>
        <v>2047700</v>
      </c>
      <c r="H50">
        <f>RTD("profrtd",,"Live","{2949},Change")</f>
        <v>-2.5</v>
      </c>
      <c r="I50">
        <f>RTD("profrtd",,"Live","{2949},Volume")</f>
        <v>3884500</v>
      </c>
      <c r="J50">
        <f>RTD("profrtd",,"Live","{2949},Value")</f>
        <v>435580750</v>
      </c>
      <c r="K50">
        <f>RTD("profrtd",,"Live","{2949},MktCap.")</f>
        <v>28748424880.5</v>
      </c>
      <c r="L50" t="str">
        <f>RTD("profrtd",,"Live","{2949},Time")</f>
        <v>16:36:17</v>
      </c>
      <c r="M50" t="str">
        <f>RTD("profrtd",,"Live","{2949},Date")</f>
        <v>21/07/2017</v>
      </c>
    </row>
    <row r="51" spans="1:13">
      <c r="A51" t="str">
        <f>RTD("profrtd",,"Live","{99863},Symbol")</f>
        <v>GPSC01P1707A</v>
      </c>
      <c r="B51">
        <f>RTD("profrtd",,"Live","{99863},Last")</f>
        <v>0.22</v>
      </c>
      <c r="C51">
        <f>RTD("profrtd",,"Live","{99863},NumT")</f>
        <v>1275</v>
      </c>
      <c r="D51">
        <f>RTD("profrtd",,"Live","{99863},PNumTicks")</f>
        <v>20</v>
      </c>
      <c r="E51">
        <f>RTD("profrtd",,"Live","{99863},P2NumTicks")</f>
        <v>324</v>
      </c>
      <c r="F51">
        <f>RTD("profrtd",,"Live","{99863},BuyVol")</f>
        <v>1714000</v>
      </c>
      <c r="G51">
        <f>RTD("profrtd",,"Live","{99863},SellVol")</f>
        <v>1906600</v>
      </c>
      <c r="H51">
        <f>RTD("profrtd",,"Live","{99863},Change")</f>
        <v>-0.09</v>
      </c>
      <c r="I51">
        <f>RTD("profrtd",,"Live","{99863},Volume")</f>
        <v>3676600</v>
      </c>
      <c r="J51">
        <f>RTD("profrtd",,"Live","{99863},Value")</f>
        <v>957143</v>
      </c>
      <c r="K51">
        <f>RTD("profrtd",,"Live","{99863},MktCap.")</f>
        <v>9400600</v>
      </c>
      <c r="L51" t="str">
        <f>RTD("profrtd",,"Live","{99863},Time")</f>
        <v>16:10:42</v>
      </c>
      <c r="M51" t="str">
        <f>RTD("profrtd",,"Live","{99863},Date")</f>
        <v>21/07/2017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K6"/>
  <sheetViews>
    <sheetView zoomScale="110" zoomScaleNormal="110" workbookViewId="0"/>
  </sheetViews>
  <sheetFormatPr defaultRowHeight="15"/>
  <cols>
    <col min="1" max="1" width="10.5703125" bestFit="1" customWidth="1"/>
    <col min="2" max="2" width="10.85546875" bestFit="1" customWidth="1"/>
    <col min="3" max="4" width="13.85546875" bestFit="1" customWidth="1"/>
    <col min="5" max="5" width="6.28515625" bestFit="1" customWidth="1"/>
    <col min="6" max="7" width="13.85546875" bestFit="1" customWidth="1"/>
    <col min="8" max="8" width="10.85546875" bestFit="1" customWidth="1"/>
    <col min="9" max="10" width="13.85546875" bestFit="1" customWidth="1"/>
    <col min="11" max="11" width="6.28515625" bestFit="1" customWidth="1"/>
    <col min="12" max="13" width="13.85546875" bestFit="1" customWidth="1"/>
    <col min="14" max="14" width="6.28515625" bestFit="1" customWidth="1"/>
    <col min="15" max="16" width="13.85546875" bestFit="1" customWidth="1"/>
    <col min="17" max="17" width="6.28515625" bestFit="1" customWidth="1"/>
    <col min="18" max="19" width="13.85546875" bestFit="1" customWidth="1"/>
    <col min="20" max="20" width="6.28515625" bestFit="1" customWidth="1"/>
    <col min="21" max="22" width="13.85546875" bestFit="1" customWidth="1"/>
  </cols>
  <sheetData>
    <row r="1" spans="1:37" s="106" customForma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37">
      <c r="Z2" s="1"/>
      <c r="AA2" s="2"/>
      <c r="AB2" s="2"/>
      <c r="AC2" s="1"/>
      <c r="AD2" s="2"/>
      <c r="AE2" s="2"/>
      <c r="AF2" s="1"/>
      <c r="AG2" s="2"/>
      <c r="AH2" s="2"/>
      <c r="AI2" s="1"/>
      <c r="AJ2" s="2"/>
      <c r="AK2" s="2"/>
    </row>
    <row r="3" spans="1:37">
      <c r="Z3" s="1"/>
      <c r="AA3" s="2"/>
      <c r="AB3" s="2"/>
      <c r="AC3" s="1"/>
      <c r="AD3" s="2"/>
      <c r="AE3" s="2"/>
      <c r="AF3" s="1"/>
      <c r="AG3" s="2"/>
      <c r="AH3" s="2"/>
      <c r="AI3" s="1"/>
      <c r="AJ3" s="2"/>
      <c r="AK3" s="2"/>
    </row>
    <row r="4" spans="1:37">
      <c r="Z4" s="1"/>
      <c r="AA4" s="2"/>
      <c r="AB4" s="2"/>
      <c r="AC4" s="1"/>
      <c r="AD4" s="2"/>
      <c r="AE4" s="2"/>
      <c r="AF4" s="1"/>
      <c r="AG4" s="2"/>
      <c r="AH4" s="2"/>
      <c r="AI4" s="1"/>
      <c r="AJ4" s="2"/>
      <c r="AK4" s="2"/>
    </row>
    <row r="5" spans="1:37">
      <c r="Z5" s="1"/>
      <c r="AA5" s="2"/>
      <c r="AB5" s="2"/>
      <c r="AC5" s="1"/>
      <c r="AD5" s="2"/>
      <c r="AE5" s="2"/>
      <c r="AF5" s="1"/>
      <c r="AG5" s="2"/>
      <c r="AH5" s="2"/>
      <c r="AI5" s="1"/>
      <c r="AJ5" s="2"/>
      <c r="AK5" s="2"/>
    </row>
    <row r="6" spans="1:37">
      <c r="A6" s="4"/>
      <c r="B6" s="4"/>
      <c r="E6" s="4"/>
      <c r="H6" s="4"/>
      <c r="K6" s="4"/>
      <c r="N6" s="4"/>
      <c r="Q6" s="4"/>
      <c r="T6" s="4"/>
      <c r="W6" s="4"/>
      <c r="Z6" s="1"/>
      <c r="AA6" s="2"/>
      <c r="AB6" s="2"/>
      <c r="AC6" s="1"/>
      <c r="AD6" s="2"/>
      <c r="AE6" s="2"/>
      <c r="AF6" s="1"/>
      <c r="AG6" s="2"/>
      <c r="AH6" s="2"/>
      <c r="AI6" s="1"/>
      <c r="AJ6" s="2"/>
      <c r="AK6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6:E6"/>
  <sheetViews>
    <sheetView zoomScaleNormal="100" workbookViewId="0">
      <selection activeCell="I34" sqref="I34"/>
    </sheetView>
  </sheetViews>
  <sheetFormatPr defaultRowHeight="15"/>
  <cols>
    <col min="1" max="1" width="14.140625" style="107" bestFit="1" customWidth="1"/>
    <col min="2" max="3" width="10.5703125" bestFit="1" customWidth="1"/>
    <col min="4" max="5" width="10.7109375" bestFit="1" customWidth="1"/>
  </cols>
  <sheetData>
    <row r="6" spans="1:5">
      <c r="A6" s="113"/>
      <c r="B6" s="4"/>
      <c r="C6" s="4"/>
      <c r="D6" s="4"/>
      <c r="E6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6"/>
  <sheetViews>
    <sheetView workbookViewId="0">
      <selection sqref="A1:E1048576"/>
    </sheetView>
  </sheetViews>
  <sheetFormatPr defaultRowHeight="15"/>
  <cols>
    <col min="1" max="1" width="14.140625" style="107" bestFit="1" customWidth="1"/>
    <col min="2" max="5" width="10" bestFit="1" customWidth="1"/>
  </cols>
  <sheetData>
    <row r="6" spans="1:1">
      <c r="A6" s="11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6"/>
  <sheetViews>
    <sheetView zoomScaleNormal="100" workbookViewId="0">
      <selection activeCell="J33" sqref="J33"/>
    </sheetView>
  </sheetViews>
  <sheetFormatPr defaultRowHeight="15"/>
  <cols>
    <col min="1" max="1" width="14.140625" style="107" bestFit="1" customWidth="1"/>
    <col min="2" max="4" width="10" bestFit="1" customWidth="1"/>
  </cols>
  <sheetData>
    <row r="6" spans="1:1">
      <c r="A6" s="11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N35" sqref="N35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10</vt:i4>
      </vt:variant>
      <vt:variant>
        <vt:lpstr>ช่วงที่มีชื่อ</vt:lpstr>
      </vt:variant>
      <vt:variant>
        <vt:i4>1</vt:i4>
      </vt:variant>
    </vt:vector>
  </HeadingPairs>
  <TitlesOfParts>
    <vt:vector size="11" baseType="lpstr">
      <vt:lpstr>Sheet1</vt:lpstr>
      <vt:lpstr>BZ_100</vt:lpstr>
      <vt:lpstr> BZ_W</vt:lpstr>
      <vt:lpstr>Master</vt:lpstr>
      <vt:lpstr>BZ_RTD</vt:lpstr>
      <vt:lpstr>DataPaste</vt:lpstr>
      <vt:lpstr>Deal</vt:lpstr>
      <vt:lpstr>Vbuy</vt:lpstr>
      <vt:lpstr>Vsell</vt:lpstr>
      <vt:lpstr>Cal</vt:lpstr>
      <vt:lpstr>Sheet1!Print_Titles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cp:revision/>
  <cp:lastPrinted>2017-07-19T02:44:29Z</cp:lastPrinted>
  <dcterms:created xsi:type="dcterms:W3CDTF">2017-04-20T16:32:08Z</dcterms:created>
  <dcterms:modified xsi:type="dcterms:W3CDTF">2017-07-21T15:54:21Z</dcterms:modified>
</cp:coreProperties>
</file>