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Graph\Graph NG\New folder\"/>
    </mc:Choice>
  </mc:AlternateContent>
  <xr:revisionPtr revIDLastSave="0" documentId="8_{7F2BECE2-851E-4215-8E9D-4E53A35871D8}" xr6:coauthVersionLast="45" xr6:coauthVersionMax="45" xr10:uidLastSave="{00000000-0000-0000-0000-000000000000}"/>
  <bookViews>
    <workbookView xWindow="-120" yWindow="-120" windowWidth="20730" windowHeight="11160" tabRatio="561" activeTab="1"/>
  </bookViews>
  <sheets>
    <sheet name="ME17814-1" sheetId="34" r:id="rId1"/>
    <sheet name="ME17814-2" sheetId="33" r:id="rId2"/>
    <sheet name="ME1586" sheetId="24" r:id="rId3"/>
  </sheets>
  <externalReferences>
    <externalReference r:id="rId4"/>
  </externalReferences>
  <definedNames>
    <definedName name="_xlnm._FilterDatabase" localSheetId="0" hidden="1">'ME17814-1'!$C$3:$H$19</definedName>
    <definedName name="_xlnm._FilterDatabase" localSheetId="1" hidden="1">'ME17814-2'!$C$3:$H$31</definedName>
    <definedName name="AA">'[1]AFTER (2)'!$A$1:$A$65536</definedName>
    <definedName name="_xlnm.Print_Area" localSheetId="2">'ME1586'!$A$1:$O$39</definedName>
    <definedName name="_xlnm.Print_Area" localSheetId="0">'ME17814-1'!$A$1:$P$39</definedName>
    <definedName name="_xlnm.Print_Area" localSheetId="1">'ME17814-2'!$A$1:$P$39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24" l="1"/>
  <c r="N27" i="24"/>
  <c r="G7" i="24"/>
  <c r="G5" i="24"/>
  <c r="G6" i="24"/>
  <c r="G10" i="33"/>
  <c r="G16" i="33"/>
  <c r="G9" i="33"/>
  <c r="G7" i="33"/>
  <c r="M27" i="33"/>
  <c r="G5" i="33"/>
  <c r="G6" i="34"/>
  <c r="L27" i="34"/>
  <c r="G8" i="34"/>
  <c r="N27" i="34"/>
  <c r="G13" i="34"/>
  <c r="G36" i="33"/>
  <c r="H27" i="33"/>
  <c r="G33" i="24"/>
  <c r="G36" i="34"/>
  <c r="H26" i="34"/>
  <c r="G11" i="34"/>
  <c r="G9" i="34"/>
  <c r="H9" i="34"/>
  <c r="G7" i="34"/>
  <c r="M27" i="34"/>
  <c r="G19" i="34"/>
  <c r="H19" i="34"/>
  <c r="G12" i="34"/>
  <c r="H12" i="34"/>
  <c r="G17" i="34"/>
  <c r="G18" i="34"/>
  <c r="G6" i="33"/>
  <c r="H6" i="33"/>
  <c r="L26" i="33"/>
  <c r="G14" i="33"/>
  <c r="H14" i="33"/>
  <c r="G17" i="33"/>
  <c r="H17" i="33"/>
  <c r="G12" i="33"/>
  <c r="G8" i="33"/>
  <c r="G22" i="33"/>
  <c r="G15" i="33"/>
  <c r="H15" i="33"/>
  <c r="G18" i="33"/>
  <c r="H18" i="33"/>
  <c r="G20" i="34"/>
  <c r="H20" i="34"/>
  <c r="G21" i="34"/>
  <c r="H21" i="34"/>
  <c r="G14" i="34"/>
  <c r="H14" i="34"/>
  <c r="G11" i="33"/>
  <c r="G16" i="34"/>
  <c r="G15" i="34"/>
  <c r="G10" i="34"/>
  <c r="G23" i="33"/>
  <c r="G20" i="33"/>
  <c r="G19" i="33"/>
  <c r="H19" i="33"/>
  <c r="G4" i="24"/>
  <c r="G13" i="24"/>
  <c r="G4" i="33"/>
  <c r="H4" i="33"/>
  <c r="J26" i="33"/>
  <c r="G13" i="33"/>
  <c r="H13" i="33"/>
  <c r="G22" i="34"/>
  <c r="H22" i="34"/>
  <c r="G5" i="34"/>
  <c r="G21" i="33"/>
  <c r="G17" i="24"/>
  <c r="G4" i="34"/>
  <c r="G16" i="24"/>
  <c r="G9" i="24"/>
  <c r="G11" i="24"/>
  <c r="H11" i="24"/>
  <c r="H23" i="34"/>
  <c r="G14" i="24"/>
  <c r="H14" i="24"/>
  <c r="G10" i="24"/>
  <c r="L27" i="24"/>
  <c r="G15" i="24"/>
  <c r="J27" i="24"/>
  <c r="K27" i="24"/>
  <c r="G12" i="24"/>
  <c r="H12" i="24"/>
  <c r="H15" i="24"/>
  <c r="J27" i="33"/>
  <c r="H23" i="33"/>
  <c r="H9" i="24"/>
  <c r="H18" i="24"/>
  <c r="H20" i="24"/>
  <c r="H31" i="33"/>
  <c r="H29" i="24"/>
  <c r="J25" i="24"/>
  <c r="K25" i="24"/>
  <c r="L25" i="24"/>
  <c r="M25" i="24"/>
  <c r="N25" i="24"/>
  <c r="M27" i="24"/>
  <c r="H32" i="33"/>
  <c r="J25" i="33"/>
  <c r="K25" i="33"/>
  <c r="L25" i="33"/>
  <c r="M25" i="33"/>
  <c r="N25" i="33"/>
  <c r="J25" i="34"/>
  <c r="K25" i="34"/>
  <c r="L25" i="34"/>
  <c r="M25" i="34"/>
  <c r="N25" i="34"/>
  <c r="H13" i="24"/>
  <c r="H21" i="24"/>
  <c r="H30" i="24"/>
  <c r="H25" i="24"/>
  <c r="H27" i="24"/>
  <c r="H19" i="24"/>
  <c r="H23" i="24"/>
  <c r="H24" i="24"/>
  <c r="H16" i="24"/>
  <c r="H28" i="24"/>
  <c r="H5" i="24"/>
  <c r="K26" i="24"/>
  <c r="H10" i="24"/>
  <c r="H6" i="24"/>
  <c r="L26" i="24"/>
  <c r="H26" i="24"/>
  <c r="H22" i="24"/>
  <c r="H4" i="24"/>
  <c r="J26" i="24"/>
  <c r="H17" i="24"/>
  <c r="N27" i="33"/>
  <c r="H16" i="34"/>
  <c r="H7" i="24"/>
  <c r="M26" i="24"/>
  <c r="K27" i="34"/>
  <c r="H16" i="33"/>
  <c r="J27" i="34"/>
  <c r="H8" i="24"/>
  <c r="N26" i="24"/>
  <c r="H15" i="34"/>
  <c r="H17" i="34"/>
  <c r="K27" i="33"/>
  <c r="H18" i="34"/>
  <c r="H32" i="34"/>
  <c r="G31" i="24"/>
  <c r="G34" i="24"/>
  <c r="G35" i="24"/>
  <c r="H4" i="34"/>
  <c r="J26" i="34"/>
  <c r="G32" i="24"/>
  <c r="H32" i="24"/>
  <c r="H31" i="24"/>
  <c r="G34" i="34"/>
  <c r="H34" i="34"/>
  <c r="H24" i="34"/>
  <c r="H13" i="34"/>
  <c r="H5" i="34"/>
  <c r="K26" i="34"/>
  <c r="H33" i="34"/>
  <c r="H28" i="34"/>
  <c r="H10" i="34"/>
  <c r="H6" i="34"/>
  <c r="L26" i="34"/>
  <c r="G35" i="34"/>
  <c r="H35" i="34"/>
  <c r="H27" i="34"/>
  <c r="H8" i="34"/>
  <c r="N26" i="34"/>
  <c r="H30" i="34"/>
  <c r="H25" i="34"/>
  <c r="H7" i="34"/>
  <c r="M26" i="34"/>
  <c r="H31" i="34"/>
  <c r="H11" i="34"/>
  <c r="H29" i="34"/>
  <c r="H9" i="33"/>
  <c r="H20" i="33"/>
  <c r="H7" i="33"/>
  <c r="M26" i="33"/>
  <c r="H25" i="33"/>
  <c r="H33" i="33"/>
  <c r="L27" i="33"/>
  <c r="H10" i="33"/>
  <c r="H28" i="33"/>
  <c r="H22" i="33"/>
  <c r="H21" i="33"/>
  <c r="H12" i="33"/>
  <c r="H5" i="33"/>
  <c r="K26" i="33"/>
  <c r="H26" i="33"/>
  <c r="H24" i="33"/>
  <c r="H29" i="33"/>
  <c r="H11" i="33"/>
  <c r="G34" i="33"/>
  <c r="H34" i="33"/>
  <c r="H8" i="33"/>
  <c r="N26" i="33"/>
  <c r="H30" i="33"/>
  <c r="G37" i="34"/>
  <c r="G38" i="34"/>
  <c r="G35" i="33"/>
  <c r="H35" i="33"/>
  <c r="G37" i="33"/>
  <c r="G38" i="33"/>
</calcChain>
</file>

<file path=xl/sharedStrings.xml><?xml version="1.0" encoding="utf-8"?>
<sst xmlns="http://schemas.openxmlformats.org/spreadsheetml/2006/main" count="102" uniqueCount="66">
  <si>
    <t>NUMBER OF DEFECT</t>
  </si>
  <si>
    <t xml:space="preserve"> LOOSE MATERIAL</t>
  </si>
  <si>
    <t xml:space="preserve"> PRODUCTION YIELD</t>
  </si>
  <si>
    <t>Q'ty</t>
  </si>
  <si>
    <t>NG RATE</t>
  </si>
  <si>
    <t>NG Description</t>
  </si>
  <si>
    <t>TOTAL OUTPUT QTY</t>
  </si>
  <si>
    <t>RESIN DAMAGE</t>
  </si>
  <si>
    <t>RESIN BROCKEN</t>
  </si>
  <si>
    <t>OD DAMAGE</t>
  </si>
  <si>
    <t>TERMINAL BEND</t>
  </si>
  <si>
    <t>RESIN OVER</t>
  </si>
  <si>
    <t>TERMINAL DAMAGE</t>
  </si>
  <si>
    <t>OD SCRATCH</t>
  </si>
  <si>
    <t>ID BIG</t>
  </si>
  <si>
    <t xml:space="preserve"> TOTAL INPUT QTY (VISUAL)</t>
  </si>
  <si>
    <t>ALL CASE</t>
  </si>
  <si>
    <t>Remark</t>
  </si>
  <si>
    <t>SET M/C</t>
  </si>
  <si>
    <t>SHORT SHOT</t>
  </si>
  <si>
    <t>SHOT NG</t>
  </si>
  <si>
    <t>COPPER SHIP RESIN</t>
  </si>
  <si>
    <t>TERMINAL CRACK</t>
  </si>
  <si>
    <t>DIRTY</t>
  </si>
  <si>
    <t>BUSH DAMAGE</t>
  </si>
  <si>
    <t>SLITTING LEAN NG</t>
  </si>
  <si>
    <t>SEE HOOK IN SLIT</t>
  </si>
  <si>
    <t>SLITTING NG</t>
  </si>
  <si>
    <t>PART DROP NG</t>
  </si>
  <si>
    <t>BUSH LOWER SPEC</t>
  </si>
  <si>
    <t>BENDING NG</t>
  </si>
  <si>
    <t>CAV MOLD NG</t>
  </si>
  <si>
    <t>SPEC TERMINAL OVER (After BD1-2)</t>
  </si>
  <si>
    <t>TERMINAL NG OVER SPEC (After BD3-4)</t>
  </si>
  <si>
    <t>SLITTING WIDE</t>
  </si>
  <si>
    <t>SLITTING LEAN (ร่องเอียง)</t>
  </si>
  <si>
    <t xml:space="preserve">OD DAMAGE </t>
  </si>
  <si>
    <t xml:space="preserve">TERMINAL DAMAGE </t>
  </si>
  <si>
    <t xml:space="preserve">SHORT SHOT </t>
  </si>
  <si>
    <t xml:space="preserve">DIRTY </t>
  </si>
  <si>
    <t xml:space="preserve">COPPER SHIP RESIN </t>
  </si>
  <si>
    <t xml:space="preserve">TERMINAL BEND </t>
  </si>
  <si>
    <t xml:space="preserve">RESIN DAMAGE </t>
  </si>
  <si>
    <t xml:space="preserve">ID BIG </t>
  </si>
  <si>
    <t xml:space="preserve">BUSH LOWER SPEC </t>
  </si>
  <si>
    <t xml:space="preserve">RESIN OVER </t>
  </si>
  <si>
    <t xml:space="preserve">TIN PEEL OFF </t>
  </si>
  <si>
    <t>BUSH NG (STEP)</t>
  </si>
  <si>
    <t xml:space="preserve">  </t>
  </si>
  <si>
    <t>ID LATHE NG  (SCRATCH)</t>
  </si>
  <si>
    <t xml:space="preserve">TERMINAL CRACK (ปีกร้าว) </t>
  </si>
  <si>
    <t>TIN PEEL OFF (ตัดครีบไม่หมด)</t>
  </si>
  <si>
    <t>TERMINAL SPEC NG LOWER (ปีกสั้น)</t>
  </si>
  <si>
    <t>TERMINAL JIG NG (CHECK JIG)</t>
  </si>
  <si>
    <t>SLITTING BIG</t>
  </si>
  <si>
    <t xml:space="preserve">SLITTING NG </t>
  </si>
  <si>
    <t>SPEC TERMINAL LOWER 2.56</t>
  </si>
  <si>
    <t>SLITTING NG LEAN (ร่องเอียง)</t>
  </si>
  <si>
    <t>PART DROP NG (งานหล่นพื่น)</t>
  </si>
  <si>
    <t>OIL</t>
  </si>
  <si>
    <t>BUSH NG</t>
  </si>
  <si>
    <t>SPEC LENGTH SLIT OVER</t>
  </si>
  <si>
    <t>LATHE ID NG (BLACK)</t>
  </si>
  <si>
    <t>PART DROP NG (งานหล่นพื้น)</t>
  </si>
  <si>
    <t>TERMINAL CRACK (ปีกร้าว)</t>
  </si>
  <si>
    <t>TIN PEEL OFF (ดีบุกลอก)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</si>
</sst>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214" formatCode="_-* #,##0_-;\-* #,##0_-;_-* &quot;-&quot;??_-;_-@_-"/>
  </numFmts>
  <fonts count="21" x14ac:knownFonts="1">
    <font>
      <sz val="14"/>
      <name val="Cordia New"/>
      <charset val="222"/>
    </font>
    <font>
      <sz val="14"/>
      <name val="Cordia New"/>
      <charset val="222"/>
    </font>
    <font>
      <b/>
      <sz val="18"/>
      <name val="AngsanaUPC"/>
      <family val="1"/>
      <charset val="222"/>
    </font>
    <font>
      <b/>
      <sz val="18"/>
      <name val="Angsana New"/>
      <family val="1"/>
    </font>
    <font>
      <sz val="13"/>
      <name val="Angsana New"/>
      <family val="1"/>
    </font>
    <font>
      <sz val="16"/>
      <color indexed="12"/>
      <name val="AngsanaUPC"/>
      <family val="1"/>
      <charset val="222"/>
    </font>
    <font>
      <b/>
      <i/>
      <sz val="16"/>
      <color indexed="12"/>
      <name val="AngsanaUPC"/>
      <family val="1"/>
      <charset val="222"/>
    </font>
    <font>
      <b/>
      <i/>
      <sz val="16"/>
      <color indexed="57"/>
      <name val="AngsanaUPC"/>
      <family val="1"/>
      <charset val="222"/>
    </font>
    <font>
      <i/>
      <sz val="16"/>
      <color indexed="12"/>
      <name val="AngsanaUPC"/>
      <family val="1"/>
      <charset val="222"/>
    </font>
    <font>
      <sz val="16"/>
      <color indexed="57"/>
      <name val="AngsanaUPC"/>
      <family val="1"/>
      <charset val="222"/>
    </font>
    <font>
      <i/>
      <sz val="16"/>
      <color indexed="57"/>
      <name val="AngsanaUPC"/>
      <family val="1"/>
      <charset val="222"/>
    </font>
    <font>
      <sz val="14"/>
      <name val="AngsanaUPC"/>
      <family val="1"/>
      <charset val="222"/>
    </font>
    <font>
      <b/>
      <sz val="16"/>
      <color indexed="12"/>
      <name val="AngsanaUPC"/>
      <family val="1"/>
      <charset val="222"/>
    </font>
    <font>
      <b/>
      <sz val="16"/>
      <color indexed="57"/>
      <name val="AngsanaUPC"/>
      <family val="1"/>
      <charset val="222"/>
    </font>
    <font>
      <b/>
      <sz val="14"/>
      <name val="AngsanaUPC"/>
      <family val="1"/>
      <charset val="222"/>
    </font>
    <font>
      <sz val="7"/>
      <name val="Small Fonts"/>
      <family val="2"/>
    </font>
    <font>
      <b/>
      <sz val="13"/>
      <name val="AngsanaUPC"/>
      <family val="1"/>
      <charset val="222"/>
    </font>
    <font>
      <b/>
      <sz val="16"/>
      <name val="AngsanaUPC"/>
      <family val="1"/>
      <charset val="222"/>
    </font>
    <font>
      <b/>
      <sz val="14"/>
      <name val="AngsanaUPC"/>
      <family val="1"/>
    </font>
    <font>
      <sz val="13"/>
      <name val="AngsanaUPC"/>
      <family val="1"/>
      <charset val="222"/>
    </font>
    <font>
      <b/>
      <sz val="16"/>
      <color rgb="FFFF0000"/>
      <name val="AngsanaUPC"/>
      <family val="1"/>
      <charset val="222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37" fontId="15" fillId="0" borderId="0"/>
    <xf numFmtId="9" fontId="1" fillId="0" borderId="0" applyFont="0" applyFill="0" applyBorder="0" applyAlignment="0" applyProtection="0"/>
    <xf numFmtId="0" fontId="11" fillId="0" borderId="0"/>
  </cellStyleXfs>
  <cellXfs count="5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10" fontId="12" fillId="0" borderId="8" xfId="0" applyNumberFormat="1" applyFont="1" applyBorder="1" applyAlignment="1">
      <alignment vertical="center"/>
    </xf>
    <xf numFmtId="10" fontId="13" fillId="0" borderId="9" xfId="0" applyNumberFormat="1" applyFont="1" applyBorder="1" applyAlignment="1">
      <alignment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1" fillId="0" borderId="0" xfId="0" applyFont="1"/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10" fontId="14" fillId="0" borderId="8" xfId="0" applyNumberFormat="1" applyFont="1" applyBorder="1" applyAlignment="1">
      <alignment vertical="center"/>
    </xf>
    <xf numFmtId="214" fontId="20" fillId="0" borderId="12" xfId="1" applyNumberFormat="1" applyFont="1" applyBorder="1" applyAlignment="1">
      <alignment vertical="center"/>
    </xf>
    <xf numFmtId="10" fontId="20" fillId="0" borderId="13" xfId="3" applyNumberFormat="1" applyFont="1" applyBorder="1" applyAlignment="1">
      <alignment vertical="center"/>
    </xf>
    <xf numFmtId="10" fontId="17" fillId="0" borderId="14" xfId="0" applyNumberFormat="1" applyFont="1" applyBorder="1" applyAlignment="1">
      <alignment horizontal="center" vertical="center"/>
    </xf>
    <xf numFmtId="10" fontId="17" fillId="0" borderId="15" xfId="0" applyNumberFormat="1" applyFont="1" applyBorder="1" applyAlignment="1">
      <alignment horizontal="center" vertical="center"/>
    </xf>
    <xf numFmtId="10" fontId="17" fillId="0" borderId="16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7" fillId="0" borderId="18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" fontId="18" fillId="2" borderId="20" xfId="0" applyNumberFormat="1" applyFont="1" applyFill="1" applyBorder="1" applyAlignment="1">
      <alignment horizontal="center" vertical="center" shrinkToFit="1"/>
    </xf>
    <xf numFmtId="0" fontId="18" fillId="2" borderId="21" xfId="0" applyFont="1" applyFill="1" applyBorder="1" applyAlignment="1">
      <alignment horizontal="center" vertical="center" shrinkToFit="1"/>
    </xf>
    <xf numFmtId="3" fontId="18" fillId="2" borderId="21" xfId="0" applyNumberFormat="1" applyFont="1" applyFill="1" applyBorder="1" applyAlignment="1">
      <alignment horizontal="center" vertical="center" shrinkToFit="1"/>
    </xf>
    <xf numFmtId="0" fontId="18" fillId="2" borderId="22" xfId="0" applyFont="1" applyFill="1" applyBorder="1" applyAlignment="1">
      <alignment horizontal="center" vertical="center" shrinkToFit="1"/>
    </xf>
    <xf numFmtId="0" fontId="5" fillId="3" borderId="23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214" fontId="20" fillId="3" borderId="12" xfId="1" applyNumberFormat="1" applyFont="1" applyFill="1" applyBorder="1" applyAlignment="1">
      <alignment vertical="center"/>
    </xf>
    <xf numFmtId="3" fontId="17" fillId="4" borderId="12" xfId="0" applyNumberFormat="1" applyFont="1" applyFill="1" applyBorder="1" applyAlignment="1">
      <alignment vertical="center"/>
    </xf>
    <xf numFmtId="0" fontId="11" fillId="5" borderId="25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0" fontId="19" fillId="5" borderId="25" xfId="0" applyFont="1" applyFill="1" applyBorder="1" applyAlignment="1">
      <alignment vertical="center"/>
    </xf>
    <xf numFmtId="0" fontId="11" fillId="5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</cellXfs>
  <cellStyles count="5">
    <cellStyle name="Comma" xfId="1" builtinId="3"/>
    <cellStyle name="no dec" xfId="2"/>
    <cellStyle name="Normal" xfId="0" builtinId="0"/>
    <cellStyle name="Percent" xfId="3" builtinId="5"/>
    <cellStyle name="ปกติ_Book1_SD-ED-65(JANOME)" xfId="4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92E-2"/>
          <c:w val="0.84896909132817722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'ME17814-1'!$J$25</c:f>
              <c:strCache>
                <c:ptCount val="1"/>
                <c:pt idx="0">
                  <c:v>SLITTING NG LEAN (ร่องเอียง)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'ME17814-1'!$J$26</c:f>
              <c:numCache>
                <c:formatCode>0.00%</c:formatCode>
                <c:ptCount val="1"/>
                <c:pt idx="0">
                  <c:v>8.5329365016543444E-3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93-4660-B988-CE2D7E9161CC}"/>
            </c:ext>
          </c:extLst>
        </c:ser>
        <c:ser>
          <c:idx val="1"/>
          <c:order val="1"/>
          <c:tx>
            <c:strRef>
              <c:f>'ME17814-1'!$K$25</c:f>
              <c:strCache>
                <c:ptCount val="1"/>
                <c:pt idx="0">
                  <c:v>BUSH NG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'ME17814-1'!$K$26</c:f>
              <c:numCache>
                <c:formatCode>0.00%</c:formatCode>
                <c:ptCount val="1"/>
                <c:pt idx="0">
                  <c:v>6.8865071952126898E-3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93-4660-B988-CE2D7E9161CC}"/>
            </c:ext>
          </c:extLst>
        </c:ser>
        <c:ser>
          <c:idx val="2"/>
          <c:order val="2"/>
          <c:tx>
            <c:strRef>
              <c:f>'ME17814-1'!$L$25</c:f>
              <c:strCache>
                <c:ptCount val="1"/>
                <c:pt idx="0">
                  <c:v>TERMINAL DAMAGE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'ME17814-1'!$L$26</c:f>
              <c:numCache>
                <c:formatCode>0.00%</c:formatCode>
                <c:ptCount val="1"/>
                <c:pt idx="0">
                  <c:v>3.957762755869362E-3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93-4660-B988-CE2D7E9161CC}"/>
            </c:ext>
          </c:extLst>
        </c:ser>
        <c:ser>
          <c:idx val="3"/>
          <c:order val="3"/>
          <c:tx>
            <c:strRef>
              <c:f>'ME17814-1'!$M$25</c:f>
              <c:strCache>
                <c:ptCount val="1"/>
                <c:pt idx="0">
                  <c:v>SHORT SHOT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'ME17814-1'!$M$26</c:f>
              <c:numCache>
                <c:formatCode>0.00%</c:formatCode>
                <c:ptCount val="1"/>
                <c:pt idx="0">
                  <c:v>2.6912786739911663E-3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93-4660-B988-CE2D7E9161CC}"/>
            </c:ext>
          </c:extLst>
        </c:ser>
        <c:ser>
          <c:idx val="4"/>
          <c:order val="4"/>
          <c:tx>
            <c:strRef>
              <c:f>'ME17814-1'!$N$25</c:f>
              <c:strCache>
                <c:ptCount val="1"/>
                <c:pt idx="0">
                  <c:v>RESIN DAMAGE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'ME17814-1'!$N$26</c:f>
              <c:numCache>
                <c:formatCode>0.00%</c:formatCode>
                <c:ptCount val="1"/>
                <c:pt idx="0">
                  <c:v>1.6780914084886095E-3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93-4660-B988-CE2D7E916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250232"/>
        <c:axId val="1"/>
      </c:barChart>
      <c:catAx>
        <c:axId val="418250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25023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</c:legendEntry>
      <c:layout>
        <c:manualLayout>
          <c:xMode val="edge"/>
          <c:yMode val="edge"/>
          <c:wMode val="edge"/>
          <c:hMode val="edge"/>
          <c:x val="2.2508273422343947E-2"/>
          <c:y val="0.93669514714915947"/>
          <c:w val="0.97923660508620003"/>
          <c:h val="0.98627169669555326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92E-2"/>
          <c:w val="0.84896909132817722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'ME17814-2'!$J$25</c:f>
              <c:strCache>
                <c:ptCount val="1"/>
                <c:pt idx="0">
                  <c:v>SLITTING LEAN (ร่องเอียง)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'ME17814-2'!$J$26</c:f>
              <c:numCache>
                <c:formatCode>0.00%</c:formatCode>
                <c:ptCount val="1"/>
                <c:pt idx="0">
                  <c:v>1.0830037003955595E-2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4-4F41-A169-F7C5B072E386}"/>
            </c:ext>
          </c:extLst>
        </c:ser>
        <c:ser>
          <c:idx val="1"/>
          <c:order val="1"/>
          <c:tx>
            <c:strRef>
              <c:f>'ME17814-2'!$K$25</c:f>
              <c:strCache>
                <c:ptCount val="1"/>
                <c:pt idx="0">
                  <c:v>TERMINAL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'ME17814-2'!$K$26</c:f>
              <c:numCache>
                <c:formatCode>0.00%</c:formatCode>
                <c:ptCount val="1"/>
                <c:pt idx="0">
                  <c:v>2.9028965165241801E-3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74-4F41-A169-F7C5B072E386}"/>
            </c:ext>
          </c:extLst>
        </c:ser>
        <c:ser>
          <c:idx val="2"/>
          <c:order val="2"/>
          <c:tx>
            <c:strRef>
              <c:f>'ME17814-2'!$L$25</c:f>
              <c:strCache>
                <c:ptCount val="1"/>
                <c:pt idx="0">
                  <c:v>OD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'ME17814-2'!$L$26</c:f>
              <c:numCache>
                <c:formatCode>0.00%</c:formatCode>
                <c:ptCount val="1"/>
                <c:pt idx="0">
                  <c:v>1.9937476075028711E-3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74-4F41-A169-F7C5B072E386}"/>
            </c:ext>
          </c:extLst>
        </c:ser>
        <c:ser>
          <c:idx val="3"/>
          <c:order val="3"/>
          <c:tx>
            <c:strRef>
              <c:f>'ME17814-2'!$M$25</c:f>
              <c:strCache>
                <c:ptCount val="1"/>
                <c:pt idx="0">
                  <c:v>SHORT SHOT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'ME17814-2'!$M$26</c:f>
              <c:numCache>
                <c:formatCode>0.00%</c:formatCode>
                <c:ptCount val="1"/>
                <c:pt idx="0">
                  <c:v>1.7704478754625495E-3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74-4F41-A169-F7C5B072E386}"/>
            </c:ext>
          </c:extLst>
        </c:ser>
        <c:ser>
          <c:idx val="4"/>
          <c:order val="4"/>
          <c:tx>
            <c:strRef>
              <c:f>'ME17814-2'!$N$25</c:f>
              <c:strCache>
                <c:ptCount val="1"/>
                <c:pt idx="0">
                  <c:v>TERMINAL BEND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'ME17814-2'!$N$26</c:f>
              <c:numCache>
                <c:formatCode>0.00%</c:formatCode>
                <c:ptCount val="1"/>
                <c:pt idx="0">
                  <c:v>1.4354982774020671E-3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74-4F41-A169-F7C5B072E3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092176"/>
        <c:axId val="1"/>
      </c:barChart>
      <c:catAx>
        <c:axId val="418092176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092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2.2508273422343947E-2"/>
          <c:y val="0.93669514714915947"/>
          <c:w val="0.95672833166385607"/>
          <c:h val="4.9576549546393789E-2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64E-2"/>
          <c:w val="0.84896909132817677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'ME1586'!$J$25</c:f>
              <c:strCache>
                <c:ptCount val="1"/>
                <c:pt idx="0">
                  <c:v>SPEC TERMINAL LOWER 2.56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'ME1586'!$J$26</c:f>
              <c:numCache>
                <c:formatCode>0.00%</c:formatCode>
                <c:ptCount val="1"/>
                <c:pt idx="0">
                  <c:v>2.1765648544571745E-3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9A-4492-88C5-1772C7271C45}"/>
            </c:ext>
          </c:extLst>
        </c:ser>
        <c:ser>
          <c:idx val="1"/>
          <c:order val="1"/>
          <c:tx>
            <c:strRef>
              <c:f>'ME1586'!$K$25</c:f>
              <c:strCache>
                <c:ptCount val="1"/>
                <c:pt idx="0">
                  <c:v>TIN PEEL OFF (ดีบุกลอก)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'ME1586'!$K$26</c:f>
              <c:numCache>
                <c:formatCode>0.00%</c:formatCode>
                <c:ptCount val="1"/>
                <c:pt idx="0">
                  <c:v>1.7221172474825995E-3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9A-4492-88C5-1772C7271C45}"/>
            </c:ext>
          </c:extLst>
        </c:ser>
        <c:ser>
          <c:idx val="2"/>
          <c:order val="2"/>
          <c:tx>
            <c:strRef>
              <c:f>'ME1586'!$L$25</c:f>
              <c:strCache>
                <c:ptCount val="1"/>
                <c:pt idx="0">
                  <c:v>TERMINAL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'ME1586'!$L$26</c:f>
              <c:numCache>
                <c:formatCode>0.00%</c:formatCode>
                <c:ptCount val="1"/>
                <c:pt idx="0">
                  <c:v>1.2437513454040996E-3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9A-4492-88C5-1772C7271C45}"/>
            </c:ext>
          </c:extLst>
        </c:ser>
        <c:ser>
          <c:idx val="3"/>
          <c:order val="3"/>
          <c:tx>
            <c:strRef>
              <c:f>'ME1586'!$M$25</c:f>
              <c:strCache>
                <c:ptCount val="1"/>
                <c:pt idx="0">
                  <c:v>RESIN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'ME1586'!$M$26</c:f>
              <c:numCache>
                <c:formatCode>0.00%</c:formatCode>
                <c:ptCount val="1"/>
                <c:pt idx="0">
                  <c:v>9.8065009926092458E-4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9A-4492-88C5-1772C7271C45}"/>
            </c:ext>
          </c:extLst>
        </c:ser>
        <c:ser>
          <c:idx val="4"/>
          <c:order val="4"/>
          <c:tx>
            <c:strRef>
              <c:f>'ME1586'!$N$25</c:f>
              <c:strCache>
                <c:ptCount val="1"/>
                <c:pt idx="0">
                  <c:v>RESIN BROCKEN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'ME1586'!$N$26</c:f>
              <c:numCache>
                <c:formatCode>0.00%</c:formatCode>
                <c:ptCount val="1"/>
                <c:pt idx="0">
                  <c:v>6.6971226290989973E-4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9A-4492-88C5-1772C7271C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638424"/>
        <c:axId val="1"/>
      </c:barChart>
      <c:catAx>
        <c:axId val="418638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638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2.2508193481068806E-2"/>
          <c:y val="0.93669497195203544"/>
          <c:w val="0.97923650086646352"/>
          <c:h val="0.9862714219546086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58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189" l="0.70000000000000062" r="0.70000000000000062" t="0.75000000000000189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FD91EBD-B501-41A7-BF91-11D1C7023A29}"/>
            </a:ext>
          </a:extLst>
        </xdr:cNvPr>
        <xdr:cNvSpPr txBox="1"/>
      </xdr:nvSpPr>
      <xdr:spPr>
        <a:xfrm>
          <a:off x="6724650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B48909D-10AB-4CAA-8A53-83981294C970}"/>
            </a:ext>
          </a:extLst>
        </xdr:cNvPr>
        <xdr:cNvSpPr txBox="1"/>
      </xdr:nvSpPr>
      <xdr:spPr>
        <a:xfrm>
          <a:off x="6724650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38100</xdr:colOff>
      <xdr:row>2</xdr:row>
      <xdr:rowOff>19050</xdr:rowOff>
    </xdr:from>
    <xdr:to>
      <xdr:col>15</xdr:col>
      <xdr:colOff>409575</xdr:colOff>
      <xdr:row>22</xdr:row>
      <xdr:rowOff>133350</xdr:rowOff>
    </xdr:to>
    <xdr:graphicFrame macro="">
      <xdr:nvGraphicFramePr>
        <xdr:cNvPr id="66878846" name="Chart 2">
          <a:extLst>
            <a:ext uri="{FF2B5EF4-FFF2-40B4-BE49-F238E27FC236}">
              <a16:creationId xmlns:a16="http://schemas.microsoft.com/office/drawing/2014/main" id="{7D9C47DE-91A6-4994-8BF6-28043FCA51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112957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3224741-0DB7-43B9-A1B2-FBEB83EA130B}"/>
            </a:ext>
          </a:extLst>
        </xdr:cNvPr>
        <xdr:cNvSpPr txBox="1"/>
      </xdr:nvSpPr>
      <xdr:spPr>
        <a:xfrm>
          <a:off x="6784976" y="553268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7534B7F-2723-47F7-84D9-8B35280991A7}"/>
            </a:ext>
          </a:extLst>
        </xdr:cNvPr>
        <xdr:cNvSpPr txBox="1"/>
      </xdr:nvSpPr>
      <xdr:spPr>
        <a:xfrm>
          <a:off x="6657975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C87A7C-4852-4576-9C6E-3CE082C02EEA}"/>
            </a:ext>
          </a:extLst>
        </xdr:cNvPr>
        <xdr:cNvSpPr txBox="1"/>
      </xdr:nvSpPr>
      <xdr:spPr>
        <a:xfrm>
          <a:off x="6657975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38100</xdr:colOff>
      <xdr:row>2</xdr:row>
      <xdr:rowOff>19050</xdr:rowOff>
    </xdr:from>
    <xdr:to>
      <xdr:col>15</xdr:col>
      <xdr:colOff>409575</xdr:colOff>
      <xdr:row>22</xdr:row>
      <xdr:rowOff>133350</xdr:rowOff>
    </xdr:to>
    <xdr:graphicFrame macro="">
      <xdr:nvGraphicFramePr>
        <xdr:cNvPr id="66827727" name="Chart 2">
          <a:extLst>
            <a:ext uri="{FF2B5EF4-FFF2-40B4-BE49-F238E27FC236}">
              <a16:creationId xmlns:a16="http://schemas.microsoft.com/office/drawing/2014/main" id="{B08CD59F-351D-4E94-B429-EEB95E03BF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112957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0AD020C-E044-49CD-B330-05F00E784170}"/>
            </a:ext>
          </a:extLst>
        </xdr:cNvPr>
        <xdr:cNvSpPr txBox="1"/>
      </xdr:nvSpPr>
      <xdr:spPr>
        <a:xfrm>
          <a:off x="6718301" y="553268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9AC9153-39A0-45B4-B0CF-F6B17DF781DC}"/>
            </a:ext>
          </a:extLst>
        </xdr:cNvPr>
        <xdr:cNvSpPr txBox="1"/>
      </xdr:nvSpPr>
      <xdr:spPr>
        <a:xfrm>
          <a:off x="6743700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8110BC-3E9A-4140-A774-FC1A1237D6FD}"/>
            </a:ext>
          </a:extLst>
        </xdr:cNvPr>
        <xdr:cNvSpPr txBox="1"/>
      </xdr:nvSpPr>
      <xdr:spPr>
        <a:xfrm>
          <a:off x="6743700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28575</xdr:colOff>
      <xdr:row>2</xdr:row>
      <xdr:rowOff>38100</xdr:rowOff>
    </xdr:from>
    <xdr:to>
      <xdr:col>13</xdr:col>
      <xdr:colOff>1162050</xdr:colOff>
      <xdr:row>22</xdr:row>
      <xdr:rowOff>85725</xdr:rowOff>
    </xdr:to>
    <xdr:graphicFrame macro="">
      <xdr:nvGraphicFramePr>
        <xdr:cNvPr id="66845110" name="Chart 2">
          <a:extLst>
            <a:ext uri="{FF2B5EF4-FFF2-40B4-BE49-F238E27FC236}">
              <a16:creationId xmlns:a16="http://schemas.microsoft.com/office/drawing/2014/main" id="{F4D4997A-D28E-4F04-8B77-E50163E003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39687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DC3408C-A395-4B99-A109-926EC760AC24}"/>
            </a:ext>
          </a:extLst>
        </xdr:cNvPr>
        <xdr:cNvSpPr txBox="1"/>
      </xdr:nvSpPr>
      <xdr:spPr>
        <a:xfrm>
          <a:off x="6804026" y="545941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FF00"/>
  </sheetPr>
  <dimension ref="B1:AE39"/>
  <sheetViews>
    <sheetView view="pageBreakPreview" zoomScaleNormal="100" zoomScaleSheetLayoutView="100" workbookViewId="0">
      <selection activeCell="K33" sqref="K33"/>
    </sheetView>
  </sheetViews>
  <sheetFormatPr defaultRowHeight="21.75" x14ac:dyDescent="0.5"/>
  <cols>
    <col min="1" max="1" width="4.85546875" customWidth="1"/>
    <col min="2" max="2" width="11.85546875" customWidth="1"/>
    <col min="6" max="6" width="5.710937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17</v>
      </c>
      <c r="C3" s="49" t="s">
        <v>5</v>
      </c>
      <c r="D3" s="49"/>
      <c r="E3" s="49"/>
      <c r="F3" s="49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50" t="s">
        <v>16</v>
      </c>
      <c r="C4" s="42" t="s">
        <v>57</v>
      </c>
      <c r="D4" s="43"/>
      <c r="E4" s="43"/>
      <c r="F4" s="44"/>
      <c r="G4" s="41">
        <f>539</f>
        <v>539</v>
      </c>
      <c r="H4" s="22">
        <f t="shared" ref="H4:H33" si="0">G4/$G$36</f>
        <v>8.5329365016543444E-3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51"/>
      <c r="C5" s="45" t="s">
        <v>60</v>
      </c>
      <c r="D5" s="43"/>
      <c r="E5" s="43"/>
      <c r="F5" s="44"/>
      <c r="G5" s="41">
        <f>435</f>
        <v>435</v>
      </c>
      <c r="H5" s="22">
        <f t="shared" si="0"/>
        <v>6.8865071952126898E-3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51"/>
      <c r="C6" s="42" t="s">
        <v>37</v>
      </c>
      <c r="D6" s="43"/>
      <c r="E6" s="43"/>
      <c r="F6" s="46"/>
      <c r="G6" s="41">
        <f>2+2+1+1+2+3+1+2+1+1+2+2+3+4+1+2+1+1+2+3+2+1+1+1+1+1+2+1+1+1+6+2+3+1+6+2+2+3+2+1+3+1+2+3+4+3+3+2+9+2+2+2+2+3+1+3+2+9+3+3+3+1+1+1+1+2+2+2+4+2+1+7+1+1+3+3+1+4+3+4+4+2+1+1+3+3+1+3+2+1+5+2+2+1+3+2+2+5+3+4+2+1+3+1+2+2+2+1</f>
        <v>250</v>
      </c>
      <c r="H6" s="22">
        <f t="shared" si="0"/>
        <v>3.957762755869362E-3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51"/>
      <c r="C7" s="42" t="s">
        <v>38</v>
      </c>
      <c r="D7" s="43"/>
      <c r="E7" s="43"/>
      <c r="F7" s="44"/>
      <c r="G7" s="41">
        <f>1+3+4+2+2+1+1+1+2+1+2+1+1+1+1+7+6+4+10+5+3+5+16+9+16+3+1+2+1+2+1+1+1+1+5+1+1+1+2+1+1+1+2+2+1+1+1+1+2+2+1+1+1+2+2+3+1+3+1+1+1+1+1+1+3+1+1+2</f>
        <v>170</v>
      </c>
      <c r="H7" s="22">
        <f t="shared" si="0"/>
        <v>2.6912786739911663E-3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51"/>
      <c r="C8" s="42" t="s">
        <v>42</v>
      </c>
      <c r="D8" s="43"/>
      <c r="E8" s="43"/>
      <c r="F8" s="44"/>
      <c r="G8" s="41">
        <f>4+2+1+2+6+5+5+1+2+2+4+5+1+1+1+1+2+1+1+1+1+1+2+1+1+2+5+2+2+1+2+3+3+1+2+2+8+1+1+1+1+1+1+1+1+2+1+1+1+1+1+1+1+2</f>
        <v>106</v>
      </c>
      <c r="H8" s="22">
        <f t="shared" si="0"/>
        <v>1.6780914084886095E-3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51"/>
      <c r="C9" s="42" t="s">
        <v>36</v>
      </c>
      <c r="D9" s="43"/>
      <c r="E9" s="43"/>
      <c r="F9" s="46"/>
      <c r="G9" s="41">
        <f>1+1+2+1+1+1+1+2+1+1+2+1+1+1+1+1+1+1+2+1+1+1+1+2+1+3+1+2+1+1+1+3+1+1+1+1+1+1+2+1+2+1+4+4+1+2+1+2+1+4+1+1+1+4+1+1+1+1+1+1+1+1+2+2+1</f>
        <v>93</v>
      </c>
      <c r="H9" s="22">
        <f t="shared" si="0"/>
        <v>1.4722877451834027E-3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51"/>
      <c r="C10" s="42" t="s">
        <v>45</v>
      </c>
      <c r="D10" s="43"/>
      <c r="E10" s="43"/>
      <c r="F10" s="44"/>
      <c r="G10" s="41">
        <f>5+1+3+1+4+1+1+3+5+7+1+3+1+2+6+1+4+5+1+8+1+1+1+1+2+1</f>
        <v>70</v>
      </c>
      <c r="H10" s="22">
        <f t="shared" si="0"/>
        <v>1.1081735716434215E-3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51"/>
      <c r="C11" s="42" t="s">
        <v>41</v>
      </c>
      <c r="D11" s="43"/>
      <c r="E11" s="43"/>
      <c r="F11" s="44"/>
      <c r="G11" s="41">
        <f>1+2+2+1+2+1+2+1+1+2+1+2+1+2+1+1+2+1+1+3+1+1+2+2+1+2+1+1+2+1+4+1+1+1+2+1+1+2+1+1+1+1+1+1+1+1</f>
        <v>65</v>
      </c>
      <c r="H11" s="22">
        <f t="shared" si="0"/>
        <v>1.0290183165260341E-3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51"/>
      <c r="C12" s="42" t="s">
        <v>8</v>
      </c>
      <c r="D12" s="43"/>
      <c r="E12" s="43"/>
      <c r="F12" s="44"/>
      <c r="G12" s="41">
        <f>1+2+1+2+1+1+3+3+1+1+1+1+3+1+1+1+1+1+1+1+2+3+1+1+1+1+1+1+2+2</f>
        <v>43</v>
      </c>
      <c r="H12" s="22">
        <f t="shared" si="0"/>
        <v>6.8073519400953025E-4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51"/>
      <c r="C13" s="42" t="s">
        <v>58</v>
      </c>
      <c r="D13" s="43"/>
      <c r="E13" s="43"/>
      <c r="F13" s="44"/>
      <c r="G13" s="41">
        <f>1+2+1+1+2+1+1+1+2+2+1+1+1+1+2+2+1+1+1+1+11</f>
        <v>37</v>
      </c>
      <c r="H13" s="22">
        <f t="shared" si="0"/>
        <v>5.8574888786866561E-4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51"/>
      <c r="C14" s="42" t="s">
        <v>53</v>
      </c>
      <c r="D14" s="43"/>
      <c r="E14" s="43"/>
      <c r="F14" s="44"/>
      <c r="G14" s="41">
        <f>3+2+2+3+4+1+3+3+2+6</f>
        <v>29</v>
      </c>
      <c r="H14" s="22">
        <f t="shared" si="0"/>
        <v>4.5910047968084603E-4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51"/>
      <c r="C15" s="42" t="s">
        <v>43</v>
      </c>
      <c r="D15" s="43"/>
      <c r="E15" s="43"/>
      <c r="F15" s="46"/>
      <c r="G15" s="41">
        <f>1+2+4+7+3+2+1+1+3+1</f>
        <v>25</v>
      </c>
      <c r="H15" s="22">
        <f t="shared" si="0"/>
        <v>3.9577627558693622E-4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51"/>
      <c r="C16" s="42" t="s">
        <v>47</v>
      </c>
      <c r="D16" s="43"/>
      <c r="E16" s="43"/>
      <c r="F16" s="44"/>
      <c r="G16" s="41">
        <f>5+3+8+1+1+1+1+1</f>
        <v>21</v>
      </c>
      <c r="H16" s="22">
        <f t="shared" si="0"/>
        <v>3.324520714930264E-4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51"/>
      <c r="C17" s="42" t="s">
        <v>46</v>
      </c>
      <c r="D17" s="43"/>
      <c r="E17" s="43"/>
      <c r="F17" s="46"/>
      <c r="G17" s="41">
        <f>2+1+1+4+2+2+1+1+1+1+1+1+1+1</f>
        <v>20</v>
      </c>
      <c r="H17" s="22">
        <f t="shared" si="0"/>
        <v>3.1662102046954896E-4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51"/>
      <c r="C18" s="42" t="s">
        <v>50</v>
      </c>
      <c r="D18" s="43"/>
      <c r="E18" s="43"/>
      <c r="F18" s="44"/>
      <c r="G18" s="41">
        <f>1+1+1+1+1+2+1+1+1+1+1+1+1+1+1+1+1</f>
        <v>18</v>
      </c>
      <c r="H18" s="22">
        <f t="shared" si="0"/>
        <v>2.8495891842259408E-4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51"/>
      <c r="C19" s="42" t="s">
        <v>44</v>
      </c>
      <c r="D19" s="43"/>
      <c r="E19" s="43"/>
      <c r="F19" s="44"/>
      <c r="G19" s="41">
        <f>1+1+1+1+1+1+1+1+1+2+1+1+1+1+1+1+1</f>
        <v>18</v>
      </c>
      <c r="H19" s="22">
        <f t="shared" si="0"/>
        <v>2.8495891842259408E-4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51"/>
      <c r="C20" s="45" t="s">
        <v>40</v>
      </c>
      <c r="D20" s="43"/>
      <c r="E20" s="43"/>
      <c r="F20" s="44"/>
      <c r="G20" s="41">
        <f>1+1+1+1+2+1+1+1+1+1+1+1</f>
        <v>13</v>
      </c>
      <c r="H20" s="22">
        <f t="shared" si="0"/>
        <v>2.0580366330520683E-4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51"/>
      <c r="C21" s="42" t="s">
        <v>31</v>
      </c>
      <c r="D21" s="43"/>
      <c r="E21" s="43"/>
      <c r="F21" s="46"/>
      <c r="G21" s="41">
        <f>5+4+2+1+1</f>
        <v>13</v>
      </c>
      <c r="H21" s="22">
        <f t="shared" si="0"/>
        <v>2.0580366330520683E-4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51"/>
      <c r="C22" s="42" t="s">
        <v>18</v>
      </c>
      <c r="D22" s="43"/>
      <c r="E22" s="43"/>
      <c r="F22" s="44"/>
      <c r="G22" s="41">
        <f>1+9</f>
        <v>10</v>
      </c>
      <c r="H22" s="22">
        <f t="shared" si="0"/>
        <v>1.5831051023477448E-4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51"/>
      <c r="C23" s="42" t="s">
        <v>39</v>
      </c>
      <c r="D23" s="43"/>
      <c r="E23" s="43"/>
      <c r="F23" s="44"/>
      <c r="G23" s="41"/>
      <c r="H23" s="22">
        <f t="shared" si="0"/>
        <v>0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51"/>
      <c r="C24" s="42" t="s">
        <v>54</v>
      </c>
      <c r="D24" s="43"/>
      <c r="E24" s="43"/>
      <c r="F24" s="44"/>
      <c r="G24" s="41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51"/>
      <c r="C25" s="42" t="s">
        <v>55</v>
      </c>
      <c r="D25" s="43"/>
      <c r="E25" s="43"/>
      <c r="F25" s="46"/>
      <c r="G25" s="41"/>
      <c r="H25" s="22">
        <f t="shared" si="0"/>
        <v>0</v>
      </c>
      <c r="I25" s="17"/>
      <c r="J25" s="32" t="str">
        <f>C4</f>
        <v>SLITTING NG LEAN (ร่องเอียง)</v>
      </c>
      <c r="K25" s="33" t="str">
        <f>C5</f>
        <v>BUSH NG</v>
      </c>
      <c r="L25" s="33" t="str">
        <f>C6</f>
        <v xml:space="preserve">TERMINAL DAMAGE </v>
      </c>
      <c r="M25" s="34" t="str">
        <f>C7</f>
        <v xml:space="preserve">SHORT SHOT </v>
      </c>
      <c r="N25" s="35" t="str">
        <f>C8</f>
        <v xml:space="preserve">RESIN DAMAGE </v>
      </c>
    </row>
    <row r="26" spans="2:14" ht="19.149999999999999" customHeight="1" x14ac:dyDescent="0.5">
      <c r="B26" s="51"/>
      <c r="C26" s="42" t="s">
        <v>24</v>
      </c>
      <c r="D26" s="43"/>
      <c r="E26" s="43"/>
      <c r="F26" s="44"/>
      <c r="G26" s="41"/>
      <c r="H26" s="22">
        <f t="shared" si="0"/>
        <v>0</v>
      </c>
      <c r="I26" s="17"/>
      <c r="J26" s="25">
        <f>H4</f>
        <v>8.5329365016543444E-3</v>
      </c>
      <c r="K26" s="26">
        <f>H5</f>
        <v>6.8865071952126898E-3</v>
      </c>
      <c r="L26" s="26">
        <f>H6</f>
        <v>3.957762755869362E-3</v>
      </c>
      <c r="M26" s="26">
        <f>H7</f>
        <v>2.6912786739911663E-3</v>
      </c>
      <c r="N26" s="27">
        <f>H8</f>
        <v>1.6780914084886095E-3</v>
      </c>
    </row>
    <row r="27" spans="2:14" ht="19.149999999999999" customHeight="1" thickBot="1" x14ac:dyDescent="0.55000000000000004">
      <c r="B27" s="51"/>
      <c r="C27" s="42" t="s">
        <v>62</v>
      </c>
      <c r="D27" s="43"/>
      <c r="E27" s="43"/>
      <c r="F27" s="44"/>
      <c r="G27" s="41"/>
      <c r="H27" s="22">
        <f t="shared" si="0"/>
        <v>0</v>
      </c>
      <c r="I27" s="17"/>
      <c r="J27" s="28">
        <f>G4</f>
        <v>539</v>
      </c>
      <c r="K27" s="29">
        <f>G5</f>
        <v>435</v>
      </c>
      <c r="L27" s="29">
        <f>G6</f>
        <v>250</v>
      </c>
      <c r="M27" s="29">
        <f>G7</f>
        <v>170</v>
      </c>
      <c r="N27" s="30">
        <f>G8</f>
        <v>106</v>
      </c>
    </row>
    <row r="28" spans="2:14" ht="19.149999999999999" customHeight="1" x14ac:dyDescent="0.5">
      <c r="B28" s="51"/>
      <c r="C28" s="42"/>
      <c r="D28" s="43"/>
      <c r="E28" s="43"/>
      <c r="F28" s="46"/>
      <c r="G28" s="41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51"/>
      <c r="C29" s="42"/>
      <c r="D29" s="43"/>
      <c r="E29" s="43"/>
      <c r="F29" s="44"/>
      <c r="G29" s="41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51"/>
      <c r="C30" s="42"/>
      <c r="D30" s="43"/>
      <c r="E30" s="43"/>
      <c r="F30" s="44"/>
      <c r="G30" s="41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ht="19.149999999999999" customHeight="1" x14ac:dyDescent="0.5">
      <c r="B31" s="51"/>
      <c r="C31" s="42"/>
      <c r="D31" s="43"/>
      <c r="E31" s="43"/>
      <c r="F31" s="44"/>
      <c r="G31" s="41"/>
      <c r="H31" s="22">
        <f t="shared" si="0"/>
        <v>0</v>
      </c>
      <c r="I31" s="17"/>
      <c r="J31" s="17"/>
      <c r="K31" s="17"/>
      <c r="L31" s="17"/>
      <c r="M31" s="17"/>
      <c r="N31" s="17"/>
    </row>
    <row r="32" spans="2:14" ht="19.149999999999999" customHeight="1" x14ac:dyDescent="0.5">
      <c r="B32" s="51"/>
      <c r="C32" s="42"/>
      <c r="D32" s="43"/>
      <c r="E32" s="43"/>
      <c r="F32" s="44"/>
      <c r="G32" s="41"/>
      <c r="H32" s="22">
        <f t="shared" si="0"/>
        <v>0</v>
      </c>
      <c r="I32" s="17"/>
      <c r="J32" s="17"/>
      <c r="K32" s="17"/>
      <c r="L32" s="17"/>
      <c r="M32" s="17"/>
      <c r="N32" s="17"/>
    </row>
    <row r="33" spans="2:14" ht="19.149999999999999" customHeight="1" x14ac:dyDescent="0.5">
      <c r="B33" s="51"/>
      <c r="C33" s="42"/>
      <c r="D33" s="43"/>
      <c r="E33" s="43"/>
      <c r="F33" s="44"/>
      <c r="G33" s="41"/>
      <c r="H33" s="22">
        <f t="shared" si="0"/>
        <v>0</v>
      </c>
      <c r="I33" s="17"/>
      <c r="J33" s="17"/>
      <c r="K33" s="17"/>
      <c r="L33" s="17"/>
      <c r="M33" s="17"/>
      <c r="N33" s="17"/>
    </row>
    <row r="34" spans="2:14" s="4" customFormat="1" ht="16.899999999999999" customHeight="1" x14ac:dyDescent="0.5">
      <c r="B34" s="9" t="s">
        <v>0</v>
      </c>
      <c r="C34" s="18"/>
      <c r="D34" s="6"/>
      <c r="E34" s="6"/>
      <c r="F34" s="7"/>
      <c r="G34" s="23">
        <f>SUM(G4:G33)</f>
        <v>1975</v>
      </c>
      <c r="H34" s="13">
        <f>G34/G36</f>
        <v>3.126632577136796E-2</v>
      </c>
    </row>
    <row r="35" spans="2:14" s="4" customFormat="1" ht="16.899999999999999" customHeight="1" x14ac:dyDescent="0.5">
      <c r="B35" s="9" t="s">
        <v>1</v>
      </c>
      <c r="C35" s="19"/>
      <c r="D35" s="6"/>
      <c r="E35" s="6"/>
      <c r="F35" s="7"/>
      <c r="G35" s="23">
        <f>G36-G34</f>
        <v>61192</v>
      </c>
      <c r="H35" s="13">
        <f>G35/G36</f>
        <v>0.96873367422863199</v>
      </c>
      <c r="I35" s="5"/>
    </row>
    <row r="36" spans="2:14" s="4" customFormat="1" ht="16.899999999999999" customHeight="1" x14ac:dyDescent="0.5">
      <c r="B36" s="9" t="s">
        <v>15</v>
      </c>
      <c r="C36" s="19"/>
      <c r="D36" s="6"/>
      <c r="E36" s="6"/>
      <c r="F36" s="7"/>
      <c r="G36" s="23">
        <f>3020+4516+4977+3996+3496+2521+3964+7072+4996+6894+5912+6492+4489+822</f>
        <v>63167</v>
      </c>
      <c r="H36" s="13"/>
      <c r="I36" s="5"/>
    </row>
    <row r="37" spans="2:14" s="4" customFormat="1" ht="16.899999999999999" customHeight="1" x14ac:dyDescent="0.5">
      <c r="B37" s="36" t="s">
        <v>6</v>
      </c>
      <c r="C37" s="37"/>
      <c r="D37" s="38"/>
      <c r="E37" s="38"/>
      <c r="F37" s="39"/>
      <c r="G37" s="40">
        <f>G36-G34</f>
        <v>61192</v>
      </c>
      <c r="H37" s="13"/>
      <c r="I37" s="5"/>
    </row>
    <row r="38" spans="2:14" s="5" customFormat="1" ht="16.5" customHeight="1" thickBot="1" x14ac:dyDescent="0.55000000000000004">
      <c r="B38" s="10" t="s">
        <v>2</v>
      </c>
      <c r="C38" s="20"/>
      <c r="D38" s="11"/>
      <c r="E38" s="11"/>
      <c r="F38" s="12"/>
      <c r="G38" s="24">
        <f>G37/G36</f>
        <v>0.96873367422863199</v>
      </c>
      <c r="H38" s="14"/>
    </row>
    <row r="39" spans="2:14" ht="22.5" thickTop="1" x14ac:dyDescent="0.5"/>
  </sheetData>
  <mergeCells count="4">
    <mergeCell ref="B1:N1"/>
    <mergeCell ref="B2:N2"/>
    <mergeCell ref="C3:F3"/>
    <mergeCell ref="B4:B33"/>
  </mergeCells>
  <conditionalFormatting sqref="H4:H33">
    <cfRule type="cellIs" dxfId="2" priority="1" stopIfTrue="1" operator="equal">
      <formula>MAX($H$4:$H$11)</formula>
    </cfRule>
  </conditionalFormatting>
  <pageMargins left="0.31496062992125984" right="0.23622047244094491" top="0.35433070866141736" bottom="0.35433070866141736" header="0.19685039370078741" footer="0.15748031496062992"/>
  <pageSetup paperSize="9" scale="6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FF00"/>
  </sheetPr>
  <dimension ref="B1:AE39"/>
  <sheetViews>
    <sheetView tabSelected="1" view="pageBreakPreview" zoomScaleNormal="100" zoomScaleSheetLayoutView="100" workbookViewId="0">
      <selection activeCell="R9" sqref="R9"/>
    </sheetView>
  </sheetViews>
  <sheetFormatPr defaultRowHeight="21.75" x14ac:dyDescent="0.5"/>
  <cols>
    <col min="1" max="1" width="4.85546875" customWidth="1"/>
    <col min="2" max="2" width="11.5703125" customWidth="1"/>
    <col min="6" max="6" width="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17</v>
      </c>
      <c r="C3" s="49" t="s">
        <v>5</v>
      </c>
      <c r="D3" s="49"/>
      <c r="E3" s="49"/>
      <c r="F3" s="49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50" t="s">
        <v>16</v>
      </c>
      <c r="C4" s="42" t="s">
        <v>35</v>
      </c>
      <c r="D4" s="43"/>
      <c r="E4" s="43"/>
      <c r="F4" s="44"/>
      <c r="G4" s="41">
        <f>601+1+31+43+3</f>
        <v>679</v>
      </c>
      <c r="H4" s="22">
        <f t="shared" ref="H4:H33" si="0">G4/$G$36</f>
        <v>1.0830037003955595E-2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51"/>
      <c r="C5" s="42" t="s">
        <v>12</v>
      </c>
      <c r="D5" s="43"/>
      <c r="E5" s="43"/>
      <c r="F5" s="44"/>
      <c r="G5" s="41">
        <f>1+1+1+1+1+1+1+3+1+1+1+1+1+1+2+1+1+1+1+1+1+2+4+1+1+1+5+1+2+1+4+1+1+1+1+3+1+1+1+1+1+4+1+2+2+1+3+3+4+2+2+1+1+1+1+1+2+1+1+2+4+1+6+1+1+1+1+3+1+3+1+2+1+2+1+2+3+1+2+3+1+4+3+1+1+2+3+3+2+2+1+4+2+4+4+3+1+3+4+1</f>
        <v>182</v>
      </c>
      <c r="H5" s="22">
        <f t="shared" si="0"/>
        <v>2.9028965165241801E-3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51"/>
      <c r="C6" s="42" t="s">
        <v>9</v>
      </c>
      <c r="D6" s="43"/>
      <c r="E6" s="43"/>
      <c r="F6" s="46"/>
      <c r="G6" s="41">
        <f>1+4+1+1+2+1+1+1+1+3+1+3+2+1+1+1+1+3+1+1+5+4+2+1+1+1+1+1+1+1+2+1+3+1+1+1+2+1+2+3+2+2+2+2+1+1+3+1+2+4+2+2+1+3+1+1+1+2+3+2+3+1+2+3+3+2+1+1+1+4</f>
        <v>125</v>
      </c>
      <c r="H6" s="22">
        <f t="shared" si="0"/>
        <v>1.9937476075028711E-3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51"/>
      <c r="C7" s="42" t="s">
        <v>19</v>
      </c>
      <c r="D7" s="43"/>
      <c r="E7" s="43"/>
      <c r="F7" s="44"/>
      <c r="G7" s="41">
        <f>1+2+1+3+1+13+3+1+1+1+3+1+2+3+1+1+1+1+2+3+1+2+1+1+1+1+2+1+2+1+1+2+1+1+3+1+1+2+3+1+1+1+2+2+4+1+1+3+1+1+2+1+1+1+2+2+1+1+1+1+2+1+2+1+1</f>
        <v>111</v>
      </c>
      <c r="H7" s="22">
        <f t="shared" si="0"/>
        <v>1.7704478754625495E-3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51"/>
      <c r="C8" s="42" t="s">
        <v>10</v>
      </c>
      <c r="D8" s="43"/>
      <c r="E8" s="43"/>
      <c r="F8" s="44"/>
      <c r="G8" s="41">
        <f>2+1+1+2+1+1+2+2+2+1+2+1+1+1+1+1+2+1+1+1+1+1+1+1+1+1+3+2+1+1+1+1+1+1+1+2+1+3+3+1+1+2+1+1+1+2+1+1+1+1+4+1+2+1+2+1+1+1+1+4+1+3+1</f>
        <v>90</v>
      </c>
      <c r="H8" s="22">
        <f t="shared" si="0"/>
        <v>1.4354982774020671E-3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51"/>
      <c r="C9" s="42" t="s">
        <v>7</v>
      </c>
      <c r="D9" s="43"/>
      <c r="E9" s="43"/>
      <c r="F9" s="44"/>
      <c r="G9" s="41">
        <f>2+2+1+3+2+2+2+1+3+2+2+3+3+1+1+4+1+2+1+1+1+1+1+1+1+2+1+1+1+2+1+2+1+1+2+1+1+1+2+1+1+1+2</f>
        <v>68</v>
      </c>
      <c r="H9" s="22">
        <f t="shared" si="0"/>
        <v>1.0845986984815619E-3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51"/>
      <c r="C10" s="42" t="s">
        <v>11</v>
      </c>
      <c r="D10" s="43"/>
      <c r="E10" s="43"/>
      <c r="F10" s="44"/>
      <c r="G10" s="41">
        <f>1+1+2+2+1+3+9+11+2+1+1+10+1+1+1+1+16+1+1+1</f>
        <v>67</v>
      </c>
      <c r="H10" s="22">
        <f t="shared" si="0"/>
        <v>1.0686487176215387E-3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51"/>
      <c r="C11" s="42" t="s">
        <v>53</v>
      </c>
      <c r="D11" s="43"/>
      <c r="E11" s="43"/>
      <c r="F11" s="46"/>
      <c r="G11" s="41">
        <f>6+1+4+6+2+5+3+3+6+3</f>
        <v>39</v>
      </c>
      <c r="H11" s="22">
        <f t="shared" si="0"/>
        <v>6.220492535408958E-4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51"/>
      <c r="C12" s="42" t="s">
        <v>8</v>
      </c>
      <c r="D12" s="43"/>
      <c r="E12" s="43"/>
      <c r="F12" s="44"/>
      <c r="G12" s="41">
        <f>1+1+1+1+1+1+2+2+1+2+4+1+1+1+1+1+1+1+1+2+1+2+1</f>
        <v>31</v>
      </c>
      <c r="H12" s="22">
        <f t="shared" si="0"/>
        <v>4.9444940666071204E-4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51"/>
      <c r="C13" s="42" t="s">
        <v>61</v>
      </c>
      <c r="D13" s="43"/>
      <c r="E13" s="43"/>
      <c r="F13" s="44"/>
      <c r="G13" s="41">
        <f>30</f>
        <v>30</v>
      </c>
      <c r="H13" s="22">
        <f t="shared" si="0"/>
        <v>4.7849942580068905E-4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51"/>
      <c r="C14" s="42" t="s">
        <v>63</v>
      </c>
      <c r="D14" s="43"/>
      <c r="E14" s="43"/>
      <c r="F14" s="44"/>
      <c r="G14" s="41">
        <f>1+8+1+1+1+2+1+1+2+3+1+1+1+1+1+1+1</f>
        <v>28</v>
      </c>
      <c r="H14" s="22">
        <f t="shared" si="0"/>
        <v>4.4659946408064311E-4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51"/>
      <c r="C15" s="42" t="s">
        <v>47</v>
      </c>
      <c r="D15" s="43"/>
      <c r="E15" s="43"/>
      <c r="F15" s="44"/>
      <c r="G15" s="41">
        <f>1+1+2+1+3+4+2+4+1+1+3+4</f>
        <v>27</v>
      </c>
      <c r="H15" s="22">
        <f t="shared" si="0"/>
        <v>4.3064948322062011E-4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51"/>
      <c r="C16" s="42" t="s">
        <v>21</v>
      </c>
      <c r="D16" s="43"/>
      <c r="E16" s="43"/>
      <c r="F16" s="44"/>
      <c r="G16" s="41">
        <f>1+2+1+1+1+1+3+1+1+1+2+10</f>
        <v>25</v>
      </c>
      <c r="H16" s="22">
        <f t="shared" si="0"/>
        <v>3.9874952150057422E-4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51"/>
      <c r="C17" s="42" t="s">
        <v>29</v>
      </c>
      <c r="D17" s="43"/>
      <c r="E17" s="43"/>
      <c r="F17" s="44"/>
      <c r="G17" s="41">
        <f>1+1+1+1+1+2+1+2+1+1+1+1+1+1+1+1+2+1+1+1+1</f>
        <v>24</v>
      </c>
      <c r="H17" s="22">
        <f t="shared" si="0"/>
        <v>3.8279954064055123E-4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51"/>
      <c r="C18" s="42" t="s">
        <v>64</v>
      </c>
      <c r="D18" s="43"/>
      <c r="E18" s="43"/>
      <c r="F18" s="44" t="s">
        <v>48</v>
      </c>
      <c r="G18" s="41">
        <f>1+1+1+1+1+1+1+1+1+1+1+1+1+1+1+1</f>
        <v>16</v>
      </c>
      <c r="H18" s="22">
        <f t="shared" si="0"/>
        <v>2.5519969376036747E-4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51"/>
      <c r="C19" s="42" t="s">
        <v>14</v>
      </c>
      <c r="D19" s="43"/>
      <c r="E19" s="43"/>
      <c r="F19" s="44"/>
      <c r="G19" s="41">
        <f>3+2+2+1+1+1+1+1</f>
        <v>12</v>
      </c>
      <c r="H19" s="22">
        <f t="shared" si="0"/>
        <v>1.9139977032027561E-4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51"/>
      <c r="C20" s="42" t="s">
        <v>49</v>
      </c>
      <c r="D20" s="43"/>
      <c r="E20" s="43"/>
      <c r="F20" s="44"/>
      <c r="G20" s="41">
        <f>1+7+1+1+2</f>
        <v>12</v>
      </c>
      <c r="H20" s="22">
        <f t="shared" si="0"/>
        <v>1.9139977032027561E-4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51"/>
      <c r="C21" s="42" t="s">
        <v>18</v>
      </c>
      <c r="D21" s="43"/>
      <c r="E21" s="43"/>
      <c r="F21" s="44"/>
      <c r="G21" s="41">
        <f>1+2+7</f>
        <v>10</v>
      </c>
      <c r="H21" s="22">
        <f t="shared" si="0"/>
        <v>1.5949980860022967E-4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51"/>
      <c r="C22" s="42" t="s">
        <v>24</v>
      </c>
      <c r="D22" s="43"/>
      <c r="E22" s="43"/>
      <c r="F22" s="44"/>
      <c r="G22" s="41">
        <f>1+1+1+1+1+1+1</f>
        <v>7</v>
      </c>
      <c r="H22" s="22">
        <f t="shared" si="0"/>
        <v>1.1164986602016078E-4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51"/>
      <c r="C23" s="42" t="s">
        <v>51</v>
      </c>
      <c r="D23" s="43"/>
      <c r="E23" s="43"/>
      <c r="F23" s="46"/>
      <c r="G23" s="41">
        <f>1+1+1+2+1</f>
        <v>6</v>
      </c>
      <c r="H23" s="22">
        <f t="shared" si="0"/>
        <v>9.5699885160137807E-5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51"/>
      <c r="C24" s="42" t="s">
        <v>27</v>
      </c>
      <c r="D24" s="43"/>
      <c r="E24" s="43"/>
      <c r="F24" s="44"/>
      <c r="G24" s="41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51"/>
      <c r="C25" s="42" t="s">
        <v>23</v>
      </c>
      <c r="D25" s="43"/>
      <c r="E25" s="43"/>
      <c r="F25" s="44"/>
      <c r="G25" s="41"/>
      <c r="H25" s="22">
        <f t="shared" si="0"/>
        <v>0</v>
      </c>
      <c r="I25" s="17"/>
      <c r="J25" s="32" t="str">
        <f>C4</f>
        <v>SLITTING LEAN (ร่องเอียง)</v>
      </c>
      <c r="K25" s="33" t="str">
        <f>C5</f>
        <v>TERMINAL DAMAGE</v>
      </c>
      <c r="L25" s="33" t="str">
        <f>C6</f>
        <v>OD DAMAGE</v>
      </c>
      <c r="M25" s="34" t="str">
        <f>C7</f>
        <v>SHORT SHOT</v>
      </c>
      <c r="N25" s="35" t="str">
        <f>C8</f>
        <v>TERMINAL BEND</v>
      </c>
    </row>
    <row r="26" spans="2:14" ht="19.149999999999999" customHeight="1" x14ac:dyDescent="0.5">
      <c r="B26" s="51"/>
      <c r="C26" s="42" t="s">
        <v>13</v>
      </c>
      <c r="D26" s="43"/>
      <c r="E26" s="43"/>
      <c r="F26" s="44"/>
      <c r="G26" s="41"/>
      <c r="H26" s="22">
        <f t="shared" si="0"/>
        <v>0</v>
      </c>
      <c r="I26" s="17"/>
      <c r="J26" s="25">
        <f>H4</f>
        <v>1.0830037003955595E-2</v>
      </c>
      <c r="K26" s="26">
        <f>H5</f>
        <v>2.9028965165241801E-3</v>
      </c>
      <c r="L26" s="26">
        <f>H6</f>
        <v>1.9937476075028711E-3</v>
      </c>
      <c r="M26" s="26">
        <f>H7</f>
        <v>1.7704478754625495E-3</v>
      </c>
      <c r="N26" s="27">
        <f>H8</f>
        <v>1.4354982774020671E-3</v>
      </c>
    </row>
    <row r="27" spans="2:14" ht="19.149999999999999" customHeight="1" thickBot="1" x14ac:dyDescent="0.55000000000000004">
      <c r="B27" s="51"/>
      <c r="C27" s="42" t="s">
        <v>26</v>
      </c>
      <c r="D27" s="43"/>
      <c r="E27" s="43"/>
      <c r="F27" s="46"/>
      <c r="G27" s="41"/>
      <c r="H27" s="22">
        <f t="shared" si="0"/>
        <v>0</v>
      </c>
      <c r="I27" s="17"/>
      <c r="J27" s="28">
        <f>G4</f>
        <v>679</v>
      </c>
      <c r="K27" s="29">
        <f>G5</f>
        <v>182</v>
      </c>
      <c r="L27" s="29">
        <f>G6</f>
        <v>125</v>
      </c>
      <c r="M27" s="29">
        <f>G7</f>
        <v>111</v>
      </c>
      <c r="N27" s="30">
        <f>G8</f>
        <v>90</v>
      </c>
    </row>
    <row r="28" spans="2:14" ht="19.149999999999999" customHeight="1" x14ac:dyDescent="0.5">
      <c r="B28" s="51"/>
      <c r="C28" s="42" t="s">
        <v>34</v>
      </c>
      <c r="D28" s="43"/>
      <c r="E28" s="43"/>
      <c r="F28" s="44"/>
      <c r="G28" s="41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51"/>
      <c r="C29" s="42"/>
      <c r="D29" s="43"/>
      <c r="E29" s="43"/>
      <c r="F29" s="46"/>
      <c r="G29" s="41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51"/>
      <c r="C30" s="42"/>
      <c r="D30" s="43"/>
      <c r="E30" s="43"/>
      <c r="F30" s="46"/>
      <c r="G30" s="41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ht="19.149999999999999" customHeight="1" x14ac:dyDescent="0.5">
      <c r="B31" s="51"/>
      <c r="C31" s="42"/>
      <c r="D31" s="43"/>
      <c r="E31" s="43"/>
      <c r="F31" s="44"/>
      <c r="G31" s="41"/>
      <c r="H31" s="22">
        <f t="shared" si="0"/>
        <v>0</v>
      </c>
      <c r="I31" s="17"/>
      <c r="J31" s="17"/>
      <c r="K31" s="17"/>
      <c r="L31" s="17"/>
      <c r="M31" s="17"/>
      <c r="N31" s="17"/>
    </row>
    <row r="32" spans="2:14" ht="19.149999999999999" customHeight="1" x14ac:dyDescent="0.5">
      <c r="B32" s="51"/>
      <c r="C32" s="42"/>
      <c r="D32" s="43"/>
      <c r="E32" s="43"/>
      <c r="F32" s="44"/>
      <c r="G32" s="41"/>
      <c r="H32" s="22">
        <f t="shared" si="0"/>
        <v>0</v>
      </c>
      <c r="I32" s="17"/>
      <c r="J32" s="17"/>
      <c r="K32" s="17"/>
      <c r="L32" s="17"/>
      <c r="M32" s="17"/>
      <c r="N32" s="17"/>
    </row>
    <row r="33" spans="2:14" ht="19.149999999999999" customHeight="1" x14ac:dyDescent="0.5">
      <c r="B33" s="51"/>
      <c r="C33" s="42"/>
      <c r="D33" s="43"/>
      <c r="E33" s="43"/>
      <c r="F33" s="44"/>
      <c r="G33" s="41"/>
      <c r="H33" s="22">
        <f t="shared" si="0"/>
        <v>0</v>
      </c>
      <c r="I33" s="17"/>
      <c r="J33" s="17"/>
      <c r="K33" s="17"/>
      <c r="L33" s="17"/>
      <c r="M33" s="17"/>
      <c r="N33" s="17"/>
    </row>
    <row r="34" spans="2:14" s="4" customFormat="1" ht="16.899999999999999" customHeight="1" x14ac:dyDescent="0.5">
      <c r="B34" s="9" t="s">
        <v>0</v>
      </c>
      <c r="C34" s="18"/>
      <c r="D34" s="6"/>
      <c r="E34" s="6"/>
      <c r="F34" s="7"/>
      <c r="G34" s="23">
        <f>SUM(G4:G33)</f>
        <v>1589</v>
      </c>
      <c r="H34" s="13">
        <f>G34/G36</f>
        <v>2.5344519586576495E-2</v>
      </c>
    </row>
    <row r="35" spans="2:14" s="4" customFormat="1" ht="16.899999999999999" customHeight="1" x14ac:dyDescent="0.5">
      <c r="B35" s="9" t="s">
        <v>1</v>
      </c>
      <c r="C35" s="19"/>
      <c r="D35" s="6"/>
      <c r="E35" s="6"/>
      <c r="F35" s="7"/>
      <c r="G35" s="23">
        <f>G36-G34</f>
        <v>61107</v>
      </c>
      <c r="H35" s="13">
        <f>G35/G36</f>
        <v>0.97465548041342354</v>
      </c>
      <c r="I35" s="5"/>
    </row>
    <row r="36" spans="2:14" s="4" customFormat="1" ht="16.899999999999999" customHeight="1" x14ac:dyDescent="0.5">
      <c r="B36" s="9" t="s">
        <v>15</v>
      </c>
      <c r="C36" s="19"/>
      <c r="D36" s="6"/>
      <c r="E36" s="6"/>
      <c r="F36" s="7"/>
      <c r="G36" s="23">
        <f>4965+4494+1892+3397+3397+3499+1539+3997+1948+1425+892+6910+6981+998+7888+2984+994+1499+2997</f>
        <v>62696</v>
      </c>
      <c r="H36" s="13"/>
      <c r="I36" s="5"/>
    </row>
    <row r="37" spans="2:14" s="4" customFormat="1" ht="16.899999999999999" customHeight="1" x14ac:dyDescent="0.5">
      <c r="B37" s="36" t="s">
        <v>6</v>
      </c>
      <c r="C37" s="37"/>
      <c r="D37" s="38"/>
      <c r="E37" s="38"/>
      <c r="F37" s="39"/>
      <c r="G37" s="40">
        <f>G36-G34</f>
        <v>61107</v>
      </c>
      <c r="H37" s="13"/>
      <c r="I37" s="5"/>
    </row>
    <row r="38" spans="2:14" s="5" customFormat="1" ht="16.5" customHeight="1" thickBot="1" x14ac:dyDescent="0.55000000000000004">
      <c r="B38" s="10" t="s">
        <v>2</v>
      </c>
      <c r="C38" s="20"/>
      <c r="D38" s="11"/>
      <c r="E38" s="11"/>
      <c r="F38" s="12"/>
      <c r="G38" s="24">
        <f>G37/G36</f>
        <v>0.97465548041342354</v>
      </c>
      <c r="H38" s="14"/>
    </row>
    <row r="39" spans="2:14" ht="22.5" thickTop="1" x14ac:dyDescent="0.5"/>
  </sheetData>
  <mergeCells count="4">
    <mergeCell ref="B1:N1"/>
    <mergeCell ref="B2:N2"/>
    <mergeCell ref="C3:F3"/>
    <mergeCell ref="B4:B33"/>
  </mergeCells>
  <conditionalFormatting sqref="H4:H33">
    <cfRule type="cellIs" dxfId="1" priority="1" stopIfTrue="1" operator="equal">
      <formula>MAX($H$4:$H$11)</formula>
    </cfRule>
  </conditionalFormatting>
  <pageMargins left="0.27559055118110237" right="0.23622047244094491" top="0.35433070866141736" bottom="0.35433070866141736" header="0.19685039370078741" footer="0.15748031496062992"/>
  <pageSetup paperSize="9" scale="6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FF00"/>
  </sheetPr>
  <dimension ref="B1:AE36"/>
  <sheetViews>
    <sheetView view="pageBreakPreview" zoomScaleNormal="100" zoomScaleSheetLayoutView="100" workbookViewId="0">
      <selection activeCell="L32" sqref="L32"/>
    </sheetView>
  </sheetViews>
  <sheetFormatPr defaultRowHeight="21.75" x14ac:dyDescent="0.5"/>
  <cols>
    <col min="1" max="1" width="2.7109375" customWidth="1"/>
    <col min="2" max="2" width="14.42578125" customWidth="1"/>
    <col min="5" max="5" width="14.28515625" customWidth="1"/>
    <col min="6" max="6" width="0.4257812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17</v>
      </c>
      <c r="C3" s="49" t="s">
        <v>5</v>
      </c>
      <c r="D3" s="49"/>
      <c r="E3" s="49"/>
      <c r="F3" s="49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50" t="s">
        <v>16</v>
      </c>
      <c r="C4" s="42" t="s">
        <v>56</v>
      </c>
      <c r="D4" s="43"/>
      <c r="E4" s="43"/>
      <c r="F4" s="31"/>
      <c r="G4" s="41">
        <f>11+3+3+37+5+25+7</f>
        <v>91</v>
      </c>
      <c r="H4" s="22">
        <f t="shared" ref="H4:H30" si="0">G4/$G$33</f>
        <v>2.1765648544571745E-3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51"/>
      <c r="C5" s="42" t="s">
        <v>65</v>
      </c>
      <c r="D5" s="43"/>
      <c r="E5" s="43"/>
      <c r="F5" s="31"/>
      <c r="G5" s="41">
        <f>1+1+3+1+1+2+1+6+1+1+1+3+1+3+2+7+1+1+1+5+4+1+1+1+8+1+1+1+2+3+1+1+2+1+1</f>
        <v>72</v>
      </c>
      <c r="H5" s="22">
        <f t="shared" si="0"/>
        <v>1.7221172474825995E-3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51"/>
      <c r="C6" s="42" t="s">
        <v>12</v>
      </c>
      <c r="D6" s="43"/>
      <c r="E6" s="43"/>
      <c r="F6" s="21"/>
      <c r="G6" s="41">
        <f>2+1+2+2+1+3+2+1+1+1+2+1+1+1+1+3+2+1+1+1+2+1+2+1+1+1+1+3+1+1+2+1+1+2+1+1</f>
        <v>52</v>
      </c>
      <c r="H6" s="22">
        <f t="shared" si="0"/>
        <v>1.2437513454040996E-3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51"/>
      <c r="C7" s="42" t="s">
        <v>7</v>
      </c>
      <c r="D7" s="43"/>
      <c r="E7" s="43"/>
      <c r="F7" s="31"/>
      <c r="G7" s="41">
        <f>2+2+2+1+1+1+1+1+1+2+1+1+2+1+1+1+3+1+3+3+1+3+2+1+1+1+1</f>
        <v>41</v>
      </c>
      <c r="H7" s="22">
        <f t="shared" si="0"/>
        <v>9.8065009926092458E-4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51"/>
      <c r="C8" s="42" t="s">
        <v>8</v>
      </c>
      <c r="D8" s="43"/>
      <c r="E8" s="43"/>
      <c r="F8" s="31"/>
      <c r="G8" s="41">
        <f>2+2+1+1+1+1+2+1+1+2+1+2+1+3+3+1+2+1</f>
        <v>28</v>
      </c>
      <c r="H8" s="22">
        <f t="shared" si="0"/>
        <v>6.6971226290989973E-4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51"/>
      <c r="C9" s="42" t="s">
        <v>19</v>
      </c>
      <c r="D9" s="43"/>
      <c r="E9" s="43"/>
      <c r="F9" s="31"/>
      <c r="G9" s="41">
        <f>1+1+3+1+2+1+1+2+1+1+1+1+1+1+1+1</f>
        <v>20</v>
      </c>
      <c r="H9" s="22">
        <f t="shared" si="0"/>
        <v>4.7836590207849986E-4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51"/>
      <c r="C10" s="42" t="s">
        <v>9</v>
      </c>
      <c r="D10" s="43"/>
      <c r="E10" s="43"/>
      <c r="F10" s="21"/>
      <c r="G10" s="41">
        <f>1+1+2+2+1+1+1+1+1+2</f>
        <v>13</v>
      </c>
      <c r="H10" s="22">
        <f t="shared" si="0"/>
        <v>3.109378363510249E-4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51"/>
      <c r="C11" s="42" t="s">
        <v>10</v>
      </c>
      <c r="D11" s="43"/>
      <c r="E11" s="43"/>
      <c r="F11" s="21"/>
      <c r="G11" s="41">
        <f>1+1+1+2+1+1+1+1+1</f>
        <v>10</v>
      </c>
      <c r="H11" s="22">
        <f t="shared" si="0"/>
        <v>2.3918295103924993E-4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51"/>
      <c r="C12" s="42" t="s">
        <v>52</v>
      </c>
      <c r="D12" s="43"/>
      <c r="E12" s="43"/>
      <c r="F12" s="31"/>
      <c r="G12" s="41">
        <f>2+4</f>
        <v>6</v>
      </c>
      <c r="H12" s="22">
        <f t="shared" si="0"/>
        <v>1.4350977062354994E-4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51"/>
      <c r="C13" s="42" t="s">
        <v>27</v>
      </c>
      <c r="D13" s="43"/>
      <c r="E13" s="43"/>
      <c r="F13" s="31"/>
      <c r="G13" s="41">
        <f>1+1+1+2</f>
        <v>5</v>
      </c>
      <c r="H13" s="22">
        <f t="shared" si="0"/>
        <v>1.1959147551962497E-4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51"/>
      <c r="C14" s="42" t="s">
        <v>13</v>
      </c>
      <c r="D14" s="43"/>
      <c r="E14" s="43"/>
      <c r="F14" s="31"/>
      <c r="G14" s="41">
        <f>1+1</f>
        <v>2</v>
      </c>
      <c r="H14" s="22">
        <f t="shared" si="0"/>
        <v>4.7836590207849988E-5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51"/>
      <c r="C15" s="42" t="s">
        <v>21</v>
      </c>
      <c r="D15" s="43"/>
      <c r="E15" s="43"/>
      <c r="F15" s="21"/>
      <c r="G15" s="41">
        <f>1</f>
        <v>1</v>
      </c>
      <c r="H15" s="22">
        <f t="shared" si="0"/>
        <v>2.3918295103924994E-5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51"/>
      <c r="C16" s="42" t="s">
        <v>20</v>
      </c>
      <c r="D16" s="43"/>
      <c r="E16" s="43"/>
      <c r="F16" s="21"/>
      <c r="G16" s="41">
        <f>1</f>
        <v>1</v>
      </c>
      <c r="H16" s="22">
        <f t="shared" si="0"/>
        <v>2.3918295103924994E-5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51"/>
      <c r="C17" s="42" t="s">
        <v>59</v>
      </c>
      <c r="D17" s="43"/>
      <c r="E17" s="43"/>
      <c r="F17" s="31"/>
      <c r="G17" s="41">
        <f>1</f>
        <v>1</v>
      </c>
      <c r="H17" s="22">
        <f t="shared" si="0"/>
        <v>2.3918295103924994E-5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51"/>
      <c r="C18" s="42" t="s">
        <v>23</v>
      </c>
      <c r="D18" s="43"/>
      <c r="E18" s="43"/>
      <c r="F18" s="31"/>
      <c r="G18" s="41">
        <v>1</v>
      </c>
      <c r="H18" s="22">
        <f t="shared" si="0"/>
        <v>2.3918295103924994E-5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51"/>
      <c r="C19" s="42" t="s">
        <v>22</v>
      </c>
      <c r="D19" s="43"/>
      <c r="E19" s="43"/>
      <c r="F19" s="31"/>
      <c r="G19" s="41"/>
      <c r="H19" s="22">
        <f t="shared" si="0"/>
        <v>0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51"/>
      <c r="C20" s="42" t="s">
        <v>33</v>
      </c>
      <c r="D20" s="43"/>
      <c r="E20" s="43"/>
      <c r="F20" s="31"/>
      <c r="G20" s="41"/>
      <c r="H20" s="22">
        <f t="shared" si="0"/>
        <v>0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51"/>
      <c r="C21" s="42" t="s">
        <v>18</v>
      </c>
      <c r="D21" s="43"/>
      <c r="E21" s="43"/>
      <c r="F21" s="31"/>
      <c r="G21" s="41"/>
      <c r="H21" s="22">
        <f t="shared" si="0"/>
        <v>0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51"/>
      <c r="C22" s="42" t="s">
        <v>25</v>
      </c>
      <c r="D22" s="43"/>
      <c r="E22" s="43"/>
      <c r="F22" s="31"/>
      <c r="G22" s="41"/>
      <c r="H22" s="22">
        <f t="shared" si="0"/>
        <v>0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51"/>
      <c r="C23" s="42" t="s">
        <v>30</v>
      </c>
      <c r="D23" s="43"/>
      <c r="E23" s="43"/>
      <c r="F23" s="31"/>
      <c r="G23" s="41"/>
      <c r="H23" s="22">
        <f t="shared" si="0"/>
        <v>0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51"/>
      <c r="C24" s="42" t="s">
        <v>28</v>
      </c>
      <c r="D24" s="43"/>
      <c r="E24" s="43"/>
      <c r="F24" s="31"/>
      <c r="G24" s="41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51"/>
      <c r="C25" s="42" t="s">
        <v>32</v>
      </c>
      <c r="D25" s="43"/>
      <c r="E25" s="43"/>
      <c r="F25" s="21"/>
      <c r="G25" s="41"/>
      <c r="H25" s="22">
        <f t="shared" si="0"/>
        <v>0</v>
      </c>
      <c r="I25" s="17"/>
      <c r="J25" s="32" t="str">
        <f>C4</f>
        <v>SPEC TERMINAL LOWER 2.56</v>
      </c>
      <c r="K25" s="33" t="str">
        <f>C5</f>
        <v>TIN PEEL OFF (ดีบุกลอก)</v>
      </c>
      <c r="L25" s="33" t="str">
        <f>C6</f>
        <v>TERMINAL DAMAGE</v>
      </c>
      <c r="M25" s="34" t="str">
        <f>C7</f>
        <v>RESIN DAMAGE</v>
      </c>
      <c r="N25" s="35" t="str">
        <f>C8</f>
        <v>RESIN BROCKEN</v>
      </c>
    </row>
    <row r="26" spans="2:14" ht="19.149999999999999" customHeight="1" x14ac:dyDescent="0.5">
      <c r="B26" s="51"/>
      <c r="C26" s="42"/>
      <c r="D26" s="43"/>
      <c r="E26" s="43"/>
      <c r="F26" s="31"/>
      <c r="G26" s="41"/>
      <c r="H26" s="22">
        <f t="shared" si="0"/>
        <v>0</v>
      </c>
      <c r="I26" s="17"/>
      <c r="J26" s="25">
        <f>H4</f>
        <v>2.1765648544571745E-3</v>
      </c>
      <c r="K26" s="26">
        <f>H5</f>
        <v>1.7221172474825995E-3</v>
      </c>
      <c r="L26" s="26">
        <f>H6</f>
        <v>1.2437513454040996E-3</v>
      </c>
      <c r="M26" s="26">
        <f>H7</f>
        <v>9.8065009926092458E-4</v>
      </c>
      <c r="N26" s="27">
        <f>H8</f>
        <v>6.6971226290989973E-4</v>
      </c>
    </row>
    <row r="27" spans="2:14" ht="19.149999999999999" customHeight="1" thickBot="1" x14ac:dyDescent="0.55000000000000004">
      <c r="B27" s="51"/>
      <c r="C27" s="42"/>
      <c r="D27" s="43"/>
      <c r="E27" s="43"/>
      <c r="F27" s="31"/>
      <c r="G27" s="41"/>
      <c r="H27" s="22">
        <f t="shared" si="0"/>
        <v>0</v>
      </c>
      <c r="I27" s="17"/>
      <c r="J27" s="28">
        <f>G4</f>
        <v>91</v>
      </c>
      <c r="K27" s="29">
        <f>G5</f>
        <v>72</v>
      </c>
      <c r="L27" s="29">
        <f>G6</f>
        <v>52</v>
      </c>
      <c r="M27" s="29">
        <f>G7</f>
        <v>41</v>
      </c>
      <c r="N27" s="30">
        <f>G8</f>
        <v>28</v>
      </c>
    </row>
    <row r="28" spans="2:14" ht="19.149999999999999" customHeight="1" x14ac:dyDescent="0.5">
      <c r="B28" s="51"/>
      <c r="C28" s="42"/>
      <c r="D28" s="43"/>
      <c r="E28" s="43"/>
      <c r="F28" s="31"/>
      <c r="G28" s="41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51"/>
      <c r="C29" s="42"/>
      <c r="D29" s="43"/>
      <c r="E29" s="43"/>
      <c r="F29" s="31"/>
      <c r="G29" s="41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52"/>
      <c r="C30" s="42"/>
      <c r="D30" s="43"/>
      <c r="E30" s="43"/>
      <c r="F30" s="31"/>
      <c r="G30" s="41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s="4" customFormat="1" ht="16.899999999999999" customHeight="1" x14ac:dyDescent="0.5">
      <c r="B31" s="9" t="s">
        <v>0</v>
      </c>
      <c r="C31" s="18"/>
      <c r="D31" s="6"/>
      <c r="E31" s="6"/>
      <c r="F31" s="7"/>
      <c r="G31" s="23">
        <f>SUM(G4:G30)</f>
        <v>344</v>
      </c>
      <c r="H31" s="13">
        <f>G31/G33</f>
        <v>8.2278935157501978E-3</v>
      </c>
    </row>
    <row r="32" spans="2:14" s="4" customFormat="1" ht="16.899999999999999" customHeight="1" x14ac:dyDescent="0.5">
      <c r="B32" s="9" t="s">
        <v>1</v>
      </c>
      <c r="C32" s="19"/>
      <c r="D32" s="6"/>
      <c r="E32" s="6"/>
      <c r="F32" s="7"/>
      <c r="G32" s="23">
        <f>G33-G31</f>
        <v>41465</v>
      </c>
      <c r="H32" s="13">
        <f>G32/G33</f>
        <v>0.99177210648424985</v>
      </c>
      <c r="I32" s="5"/>
    </row>
    <row r="33" spans="2:9" s="4" customFormat="1" ht="16.899999999999999" customHeight="1" x14ac:dyDescent="0.5">
      <c r="B33" s="9" t="s">
        <v>15</v>
      </c>
      <c r="C33" s="19"/>
      <c r="D33" s="6"/>
      <c r="E33" s="6"/>
      <c r="F33" s="7"/>
      <c r="G33" s="23">
        <f>3861+2500+2000+2997+2991+1000+2496+2996+3495+1001+997+2498+5482+1000+498+1998+3999</f>
        <v>41809</v>
      </c>
      <c r="H33" s="13"/>
      <c r="I33" s="5"/>
    </row>
    <row r="34" spans="2:9" s="4" customFormat="1" ht="16.899999999999999" customHeight="1" x14ac:dyDescent="0.5">
      <c r="B34" s="36" t="s">
        <v>6</v>
      </c>
      <c r="C34" s="37"/>
      <c r="D34" s="38"/>
      <c r="E34" s="38"/>
      <c r="F34" s="39"/>
      <c r="G34" s="40">
        <f>G33-G31</f>
        <v>41465</v>
      </c>
      <c r="H34" s="13"/>
      <c r="I34" s="5"/>
    </row>
    <row r="35" spans="2:9" s="5" customFormat="1" ht="16.5" customHeight="1" thickBot="1" x14ac:dyDescent="0.55000000000000004">
      <c r="B35" s="10" t="s">
        <v>2</v>
      </c>
      <c r="C35" s="20"/>
      <c r="D35" s="11"/>
      <c r="E35" s="11"/>
      <c r="F35" s="12"/>
      <c r="G35" s="24">
        <f>G34/G33</f>
        <v>0.99177210648424985</v>
      </c>
      <c r="H35" s="14"/>
    </row>
    <row r="36" spans="2:9" ht="22.5" thickTop="1" x14ac:dyDescent="0.5"/>
  </sheetData>
  <mergeCells count="4">
    <mergeCell ref="B1:N1"/>
    <mergeCell ref="B2:N2"/>
    <mergeCell ref="C3:F3"/>
    <mergeCell ref="B4:B30"/>
  </mergeCells>
  <conditionalFormatting sqref="H4:H30">
    <cfRule type="cellIs" dxfId="0" priority="1" stopIfTrue="1" operator="equal">
      <formula>MAX($H$4:$H$11)</formula>
    </cfRule>
  </conditionalFormatting>
  <pageMargins left="0.31496062992125984" right="0.23622047244094491" top="0.35433070866141736" bottom="0.35433070866141736" header="0.19685039370078741" footer="0.15748031496062992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ME17814-1</vt:lpstr>
      <vt:lpstr>ME17814-2</vt:lpstr>
      <vt:lpstr>ME1586</vt:lpstr>
      <vt:lpstr>ME1586!Print_Area</vt:lpstr>
      <vt:lpstr>'ME17814-1'!Print_Area</vt:lpstr>
      <vt:lpstr>'ME17814-2'!Print_Area</vt:lpstr>
    </vt:vector>
  </TitlesOfParts>
  <Company>toyonaga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ffc.3</dc:creator>
  <cp:lastModifiedBy>qa-nb1</cp:lastModifiedBy>
  <cp:lastPrinted>2019-05-03T06:41:14Z</cp:lastPrinted>
  <dcterms:created xsi:type="dcterms:W3CDTF">2005-03-04T07:39:37Z</dcterms:created>
  <dcterms:modified xsi:type="dcterms:W3CDTF">2019-11-16T08:49:22Z</dcterms:modified>
</cp:coreProperties>
</file>