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75" windowWidth="27795" windowHeight="1207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AB32" i="1" l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31" i="1"/>
  <c r="W32" i="1"/>
  <c r="W31" i="1" a="1"/>
  <c r="W31" i="1" s="1"/>
  <c r="Z51" i="1" l="1"/>
  <c r="BG52" i="1"/>
  <c r="BG51" i="1"/>
  <c r="BG50" i="1"/>
  <c r="AI50" i="1"/>
  <c r="AE50" i="1"/>
  <c r="AD50" i="1"/>
  <c r="AF50" i="1" s="1"/>
  <c r="AG50" i="1" s="1"/>
  <c r="AH50" i="1" s="1"/>
  <c r="AK50" i="1" s="1"/>
  <c r="BG49" i="1"/>
  <c r="AL49" i="1"/>
  <c r="AI49" i="1"/>
  <c r="AE49" i="1"/>
  <c r="AD49" i="1"/>
  <c r="BG48" i="1"/>
  <c r="AI48" i="1"/>
  <c r="AL48" i="1" s="1"/>
  <c r="AE48" i="1"/>
  <c r="AF48" i="1" s="1"/>
  <c r="AG48" i="1" s="1"/>
  <c r="AH48" i="1" s="1"/>
  <c r="AD48" i="1"/>
  <c r="A48" i="1"/>
  <c r="BG47" i="1"/>
  <c r="AL47" i="1"/>
  <c r="AI47" i="1"/>
  <c r="AE47" i="1"/>
  <c r="AD47" i="1"/>
  <c r="AF47" i="1" s="1"/>
  <c r="AG47" i="1" s="1"/>
  <c r="AH47" i="1" s="1"/>
  <c r="BG46" i="1"/>
  <c r="AI46" i="1"/>
  <c r="AL46" i="1" s="1"/>
  <c r="AE46" i="1"/>
  <c r="AD46" i="1"/>
  <c r="BG45" i="1"/>
  <c r="AI45" i="1"/>
  <c r="AL45" i="1" s="1"/>
  <c r="AE45" i="1"/>
  <c r="AD45" i="1"/>
  <c r="BG44" i="1"/>
  <c r="AI44" i="1"/>
  <c r="AL44" i="1" s="1"/>
  <c r="AE44" i="1"/>
  <c r="AD44" i="1"/>
  <c r="AF44" i="1" s="1"/>
  <c r="AG44" i="1" s="1"/>
  <c r="AH44" i="1" s="1"/>
  <c r="BG43" i="1"/>
  <c r="AL43" i="1"/>
  <c r="AI43" i="1"/>
  <c r="AE43" i="1"/>
  <c r="AD43" i="1"/>
  <c r="AF43" i="1" s="1"/>
  <c r="AG43" i="1" s="1"/>
  <c r="AH43" i="1" s="1"/>
  <c r="AJ45" i="1" s="1"/>
  <c r="Y45" i="1" s="1"/>
  <c r="BG42" i="1"/>
  <c r="AL42" i="1"/>
  <c r="AI42" i="1"/>
  <c r="AE42" i="1"/>
  <c r="AD42" i="1"/>
  <c r="J42" i="1"/>
  <c r="I42" i="1"/>
  <c r="H42" i="1"/>
  <c r="G42" i="1"/>
  <c r="F42" i="1"/>
  <c r="E42" i="1"/>
  <c r="D42" i="1"/>
  <c r="C42" i="1"/>
  <c r="B42" i="1"/>
  <c r="A42" i="1"/>
  <c r="BG41" i="1"/>
  <c r="AI41" i="1"/>
  <c r="AL41" i="1" s="1"/>
  <c r="AE41" i="1"/>
  <c r="AD41" i="1"/>
  <c r="BG40" i="1"/>
  <c r="AI40" i="1"/>
  <c r="AL40" i="1" s="1"/>
  <c r="AE40" i="1"/>
  <c r="AD40" i="1"/>
  <c r="BG39" i="1"/>
  <c r="AI39" i="1"/>
  <c r="AL39" i="1" s="1"/>
  <c r="AE39" i="1"/>
  <c r="AD39" i="1"/>
  <c r="AF39" i="1" s="1"/>
  <c r="AG39" i="1" s="1"/>
  <c r="AH39" i="1" s="1"/>
  <c r="BG38" i="1"/>
  <c r="AI38" i="1"/>
  <c r="AL38" i="1" s="1"/>
  <c r="AE38" i="1"/>
  <c r="AD38" i="1"/>
  <c r="AF38" i="1" s="1"/>
  <c r="AG38" i="1" s="1"/>
  <c r="AH38" i="1" s="1"/>
  <c r="BG37" i="1"/>
  <c r="AI37" i="1"/>
  <c r="AL37" i="1" s="1"/>
  <c r="AE37" i="1"/>
  <c r="AD37" i="1"/>
  <c r="AF37" i="1" s="1"/>
  <c r="AG37" i="1" s="1"/>
  <c r="AH37" i="1" s="1"/>
  <c r="BG36" i="1"/>
  <c r="AL36" i="1"/>
  <c r="AI36" i="1"/>
  <c r="AE36" i="1"/>
  <c r="AD36" i="1"/>
  <c r="BG35" i="1"/>
  <c r="AI35" i="1"/>
  <c r="AL35" i="1" s="1"/>
  <c r="AE35" i="1"/>
  <c r="AD35" i="1"/>
  <c r="BG34" i="1"/>
  <c r="AI34" i="1"/>
  <c r="AL34" i="1" s="1"/>
  <c r="AE34" i="1"/>
  <c r="AF34" i="1" s="1"/>
  <c r="AG34" i="1" s="1"/>
  <c r="AH34" i="1" s="1"/>
  <c r="AD34" i="1"/>
  <c r="BG33" i="1"/>
  <c r="AI33" i="1"/>
  <c r="AL33" i="1" s="1"/>
  <c r="AE33" i="1"/>
  <c r="AD33" i="1"/>
  <c r="AF33" i="1" s="1"/>
  <c r="AG33" i="1" s="1"/>
  <c r="AH33" i="1" s="1"/>
  <c r="BG32" i="1"/>
  <c r="AI32" i="1"/>
  <c r="AL32" i="1" s="1"/>
  <c r="AE32" i="1"/>
  <c r="AD32" i="1"/>
  <c r="AF32" i="1" s="1"/>
  <c r="AG32" i="1" s="1"/>
  <c r="AH32" i="1" s="1"/>
  <c r="AK32" i="1" s="1"/>
  <c r="D32" i="1"/>
  <c r="C32" i="1"/>
  <c r="A32" i="1"/>
  <c r="BG31" i="1"/>
  <c r="AI31" i="1"/>
  <c r="AL31" i="1" s="1"/>
  <c r="AE31" i="1"/>
  <c r="AD31" i="1"/>
  <c r="AF31" i="1" s="1"/>
  <c r="AG31" i="1" s="1"/>
  <c r="AH31" i="1" s="1"/>
  <c r="BG30" i="1"/>
  <c r="BG29" i="1"/>
  <c r="Z25" i="1"/>
  <c r="R25" i="1"/>
  <c r="H32" i="1" s="1"/>
  <c r="J25" i="1"/>
  <c r="J50" i="1" s="1"/>
  <c r="E25" i="1"/>
  <c r="E50" i="1" s="1"/>
  <c r="C25" i="1"/>
  <c r="C50" i="1" s="1"/>
  <c r="B25" i="1"/>
  <c r="B26" i="1" s="1"/>
  <c r="A25" i="1"/>
  <c r="Z24" i="1"/>
  <c r="Z23" i="1"/>
  <c r="Z22" i="1"/>
  <c r="Z21" i="1"/>
  <c r="Z20" i="1"/>
  <c r="D20" i="1"/>
  <c r="Z19" i="1"/>
  <c r="D19" i="1"/>
  <c r="Z18" i="1"/>
  <c r="Z17" i="1"/>
  <c r="A17" i="1"/>
  <c r="N25" i="1" s="1"/>
  <c r="N50" i="1" s="1"/>
  <c r="BE16" i="1"/>
  <c r="AR16" i="1"/>
  <c r="Z16" i="1"/>
  <c r="Z15" i="1"/>
  <c r="P15" i="1"/>
  <c r="A15" i="1"/>
  <c r="Z14" i="1"/>
  <c r="D14" i="1"/>
  <c r="M25" i="1" s="1"/>
  <c r="M50" i="1" s="1"/>
  <c r="BO13" i="1"/>
  <c r="BL13" i="1"/>
  <c r="BJ13" i="1"/>
  <c r="BG13" i="1"/>
  <c r="BD13" i="1"/>
  <c r="AV19" i="1" s="1"/>
  <c r="CC7" i="1" s="1"/>
  <c r="BB13" i="1"/>
  <c r="AY13" i="1"/>
  <c r="AV13" i="1"/>
  <c r="AP13" i="1"/>
  <c r="AN13" i="1" s="1"/>
  <c r="AN19" i="1" s="1"/>
  <c r="Z13" i="1"/>
  <c r="BO12" i="1"/>
  <c r="BL12" i="1"/>
  <c r="BJ12" i="1"/>
  <c r="BG12" i="1"/>
  <c r="BT5" i="1" s="1"/>
  <c r="BD12" i="1"/>
  <c r="BB12" i="1"/>
  <c r="AY12" i="1"/>
  <c r="AV12" i="1"/>
  <c r="AP12" i="1"/>
  <c r="Z12" i="1"/>
  <c r="R12" i="1"/>
  <c r="Q12" i="1"/>
  <c r="P12" i="1"/>
  <c r="O12" i="1"/>
  <c r="L12" i="1"/>
  <c r="J12" i="1"/>
  <c r="I12" i="1"/>
  <c r="H12" i="1"/>
  <c r="G12" i="1"/>
  <c r="D12" i="1"/>
  <c r="BO11" i="1"/>
  <c r="CD11" i="1" s="1"/>
  <c r="CC11" i="1" s="1"/>
  <c r="BL11" i="1"/>
  <c r="BJ11" i="1"/>
  <c r="BG11" i="1"/>
  <c r="BD11" i="1"/>
  <c r="BB11" i="1"/>
  <c r="AY11" i="1"/>
  <c r="AV11" i="1"/>
  <c r="AP11" i="1"/>
  <c r="BM17" i="1" s="1"/>
  <c r="Z11" i="1"/>
  <c r="E11" i="1"/>
  <c r="D25" i="1" s="1"/>
  <c r="BV10" i="1"/>
  <c r="BO10" i="1"/>
  <c r="CD10" i="1" s="1"/>
  <c r="CC10" i="1" s="1"/>
  <c r="BL10" i="1"/>
  <c r="BJ10" i="1"/>
  <c r="BG10" i="1"/>
  <c r="BT3" i="1" s="1"/>
  <c r="BD10" i="1"/>
  <c r="BB10" i="1"/>
  <c r="AY10" i="1"/>
  <c r="AV10" i="1"/>
  <c r="AP10" i="1"/>
  <c r="BM16" i="1" s="1"/>
  <c r="AN10" i="1"/>
  <c r="AN16" i="1" s="1"/>
  <c r="Z10" i="1"/>
  <c r="F10" i="1"/>
  <c r="F12" i="1" s="1"/>
  <c r="I25" i="1" s="1"/>
  <c r="E10" i="1"/>
  <c r="D10" i="1"/>
  <c r="A10" i="1"/>
  <c r="A16" i="1" s="1"/>
  <c r="BO9" i="1"/>
  <c r="CD9" i="1" s="1"/>
  <c r="CC9" i="1" s="1"/>
  <c r="BL9" i="1"/>
  <c r="BJ9" i="1"/>
  <c r="BG9" i="1"/>
  <c r="BD9" i="1"/>
  <c r="BT2" i="1" s="1"/>
  <c r="BC23" i="1" s="1"/>
  <c r="BB9" i="1"/>
  <c r="AY9" i="1"/>
  <c r="AV9" i="1"/>
  <c r="AP9" i="1"/>
  <c r="BH23" i="1" s="1"/>
  <c r="Z9" i="1"/>
  <c r="A9" i="1"/>
  <c r="Z8" i="1"/>
  <c r="Z7" i="1"/>
  <c r="B7" i="1"/>
  <c r="B18" i="1" s="1"/>
  <c r="A7" i="1"/>
  <c r="A19" i="1" s="1"/>
  <c r="CP6" i="1"/>
  <c r="BT6" i="1"/>
  <c r="Z6" i="1"/>
  <c r="CP5" i="1"/>
  <c r="BL5" i="1"/>
  <c r="BE5" i="1"/>
  <c r="BA5" i="1"/>
  <c r="AR5" i="1"/>
  <c r="AN5" i="1"/>
  <c r="Z5" i="1"/>
  <c r="CP4" i="1"/>
  <c r="Z4" i="1"/>
  <c r="CP3" i="1"/>
  <c r="BO3" i="1"/>
  <c r="BN4" i="1" s="1"/>
  <c r="BN5" i="1" s="1"/>
  <c r="BN6" i="1" s="1"/>
  <c r="BK3" i="1"/>
  <c r="BH4" i="1" s="1"/>
  <c r="BH5" i="1" s="1"/>
  <c r="Z3" i="1"/>
  <c r="CP2" i="1"/>
  <c r="Z2" i="1"/>
  <c r="AC1" i="1"/>
  <c r="AB1" i="1"/>
  <c r="K12" i="1" s="1"/>
  <c r="AA1" i="1"/>
  <c r="CP7" i="1" l="1"/>
  <c r="BM15" i="1"/>
  <c r="AZ22" i="1"/>
  <c r="BF22" i="1"/>
  <c r="BO22" i="1"/>
  <c r="AU23" i="1"/>
  <c r="BA23" i="1"/>
  <c r="BL23" i="1"/>
  <c r="A50" i="1"/>
  <c r="AR15" i="1"/>
  <c r="BV9" i="1" s="1"/>
  <c r="AM15" i="1" s="1"/>
  <c r="AN9" i="1"/>
  <c r="AN15" i="1" s="1"/>
  <c r="AV15" i="1"/>
  <c r="CC3" i="1" s="1"/>
  <c r="BW9" i="1"/>
  <c r="BW10" i="1"/>
  <c r="AV17" i="1"/>
  <c r="CC5" i="1" s="1"/>
  <c r="AV18" i="1"/>
  <c r="CC6" i="1" s="1"/>
  <c r="BK15" i="1"/>
  <c r="AV16" i="1"/>
  <c r="CC4" i="1" s="1"/>
  <c r="BB22" i="1"/>
  <c r="BI22" i="1"/>
  <c r="AX23" i="1"/>
  <c r="AF36" i="1"/>
  <c r="AG36" i="1" s="1"/>
  <c r="AH36" i="1" s="1"/>
  <c r="AJ38" i="1" s="1"/>
  <c r="Y38" i="1" s="1"/>
  <c r="AF41" i="1"/>
  <c r="AG41" i="1" s="1"/>
  <c r="AH41" i="1" s="1"/>
  <c r="AF42" i="1"/>
  <c r="AG42" i="1" s="1"/>
  <c r="AH42" i="1" s="1"/>
  <c r="AF45" i="1"/>
  <c r="AG45" i="1" s="1"/>
  <c r="AH45" i="1" s="1"/>
  <c r="AU26" i="1"/>
  <c r="B50" i="1"/>
  <c r="AK36" i="1"/>
  <c r="B32" i="1"/>
  <c r="D50" i="1"/>
  <c r="BK18" i="1"/>
  <c r="CD6" i="1" s="1"/>
  <c r="AY18" i="1" s="1"/>
  <c r="AR18" i="1"/>
  <c r="BQ18" i="1"/>
  <c r="BW12" i="1"/>
  <c r="BM18" i="1"/>
  <c r="BE18" i="1"/>
  <c r="BV12" i="1"/>
  <c r="AM18" i="1" s="1"/>
  <c r="AK34" i="1"/>
  <c r="AK51" i="1"/>
  <c r="AL50" i="1"/>
  <c r="A20" i="1"/>
  <c r="A21" i="1" s="1"/>
  <c r="P25" i="1" s="1"/>
  <c r="BE19" i="1"/>
  <c r="BK19" i="1"/>
  <c r="CD7" i="1" s="1"/>
  <c r="AY19" i="1" s="1"/>
  <c r="BW13" i="1"/>
  <c r="BQ19" i="1"/>
  <c r="AK31" i="1"/>
  <c r="AJ39" i="1"/>
  <c r="Y39" i="1" s="1"/>
  <c r="AK37" i="1"/>
  <c r="AJ49" i="1"/>
  <c r="Y49" i="1" s="1"/>
  <c r="AK47" i="1"/>
  <c r="Z26" i="1"/>
  <c r="BT4" i="1"/>
  <c r="BQ17" i="1"/>
  <c r="AY17" i="1"/>
  <c r="BK17" i="1"/>
  <c r="CD5" i="1" s="1"/>
  <c r="AN11" i="1"/>
  <c r="AN17" i="1" s="1"/>
  <c r="BE17" i="1"/>
  <c r="BW11" i="1"/>
  <c r="CD12" i="1"/>
  <c r="CC12" i="1" s="1"/>
  <c r="AR17" i="1"/>
  <c r="BV11" i="1" s="1"/>
  <c r="AM17" i="1" s="1"/>
  <c r="AR19" i="1"/>
  <c r="BV13" i="1" s="1"/>
  <c r="AM19" i="1" s="1"/>
  <c r="AK42" i="1"/>
  <c r="AJ44" i="1"/>
  <c r="Y44" i="1" s="1"/>
  <c r="AJ46" i="1"/>
  <c r="Y46" i="1" s="1"/>
  <c r="AK44" i="1"/>
  <c r="AJ47" i="1"/>
  <c r="Y47" i="1" s="1"/>
  <c r="AK45" i="1"/>
  <c r="AJ35" i="1"/>
  <c r="Y35" i="1" s="1"/>
  <c r="AJ43" i="1"/>
  <c r="Y43" i="1" s="1"/>
  <c r="AK41" i="1"/>
  <c r="I50" i="1"/>
  <c r="E32" i="1"/>
  <c r="AN12" i="1"/>
  <c r="AN18" i="1" s="1"/>
  <c r="CD13" i="1"/>
  <c r="CC13" i="1" s="1"/>
  <c r="BM19" i="1"/>
  <c r="AJ34" i="1"/>
  <c r="Y34" i="1" s="1"/>
  <c r="AJ41" i="1"/>
  <c r="Y41" i="1" s="1"/>
  <c r="AK39" i="1"/>
  <c r="AK43" i="1"/>
  <c r="AJ50" i="1"/>
  <c r="Y50" i="1" s="1"/>
  <c r="AK48" i="1"/>
  <c r="AV24" i="1"/>
  <c r="BK23" i="1"/>
  <c r="BB23" i="1"/>
  <c r="AV23" i="1"/>
  <c r="BN22" i="1"/>
  <c r="BE22" i="1"/>
  <c r="AY22" i="1"/>
  <c r="BE15" i="1"/>
  <c r="BQ16" i="1"/>
  <c r="AM16" i="1"/>
  <c r="BQ15" i="1"/>
  <c r="BK16" i="1"/>
  <c r="CD4" i="1" s="1"/>
  <c r="AY16" i="1" s="1"/>
  <c r="BA22" i="1"/>
  <c r="BL22" i="1"/>
  <c r="AW23" i="1"/>
  <c r="BF23" i="1"/>
  <c r="AU24" i="1"/>
  <c r="AY24" i="1" s="1"/>
  <c r="BA24" i="1" s="1"/>
  <c r="AF35" i="1"/>
  <c r="AG35" i="1" s="1"/>
  <c r="AH35" i="1" s="1"/>
  <c r="AF40" i="1"/>
  <c r="AG40" i="1" s="1"/>
  <c r="AH40" i="1" s="1"/>
  <c r="AF46" i="1"/>
  <c r="AG46" i="1" s="1"/>
  <c r="AH46" i="1" s="1"/>
  <c r="A11" i="1"/>
  <c r="A12" i="1" s="1"/>
  <c r="AJ40" i="1"/>
  <c r="Y40" i="1" s="1"/>
  <c r="AK38" i="1"/>
  <c r="AF49" i="1"/>
  <c r="AG49" i="1" s="1"/>
  <c r="AH49" i="1" s="1"/>
  <c r="AK49" i="1" s="1"/>
  <c r="R50" i="1"/>
  <c r="AA34" i="1" l="1"/>
  <c r="D16" i="1"/>
  <c r="CD3" i="1"/>
  <c r="AY15" i="1" s="1"/>
  <c r="BV16" i="1"/>
  <c r="AM10" i="1"/>
  <c r="BV19" i="1"/>
  <c r="AM13" i="1"/>
  <c r="AK40" i="1"/>
  <c r="AJ42" i="1"/>
  <c r="Y42" i="1" s="1"/>
  <c r="AM12" i="1"/>
  <c r="BV18" i="1"/>
  <c r="AH28" i="1"/>
  <c r="Q25" i="1"/>
  <c r="BE24" i="1"/>
  <c r="BI24" i="1"/>
  <c r="BF24" i="1"/>
  <c r="BC24" i="1"/>
  <c r="BK24" i="1"/>
  <c r="AM11" i="1"/>
  <c r="BV17" i="1"/>
  <c r="AK35" i="1"/>
  <c r="AJ37" i="1"/>
  <c r="Y37" i="1" s="1"/>
  <c r="AK46" i="1"/>
  <c r="AJ48" i="1"/>
  <c r="Y48" i="1" s="1"/>
  <c r="D18" i="1"/>
  <c r="K25" i="1"/>
  <c r="P50" i="1"/>
  <c r="I32" i="1"/>
  <c r="AJ36" i="1"/>
  <c r="Y36" i="1" s="1"/>
  <c r="BV15" i="1" l="1"/>
  <c r="AM9" i="1"/>
  <c r="Q50" i="1"/>
  <c r="J32" i="1"/>
  <c r="G32" i="1"/>
  <c r="K50" i="1"/>
  <c r="AI28" i="1"/>
  <c r="AK33" i="1"/>
  <c r="AA42" i="1"/>
  <c r="E18" i="1"/>
  <c r="L25" i="1" s="1"/>
  <c r="E20" i="1"/>
  <c r="O25" i="1" s="1"/>
  <c r="O50" i="1" s="1"/>
  <c r="AA45" i="1" l="1"/>
  <c r="AA49" i="1"/>
  <c r="AA43" i="1"/>
  <c r="AA50" i="1"/>
  <c r="AA47" i="1"/>
  <c r="AA44" i="1"/>
  <c r="AA41" i="1"/>
  <c r="AA39" i="1"/>
  <c r="AA38" i="1"/>
  <c r="AA46" i="1"/>
  <c r="AA35" i="1"/>
  <c r="AA36" i="1"/>
  <c r="AJ32" i="1"/>
  <c r="AJ31" i="1"/>
  <c r="Y31" i="1" s="1"/>
  <c r="AA31" i="1" s="1"/>
  <c r="L50" i="1"/>
  <c r="F32" i="1"/>
  <c r="AA48" i="1"/>
  <c r="AA37" i="1"/>
  <c r="Y32" i="1" l="1"/>
  <c r="AA32" i="1" s="1"/>
  <c r="AJ33" i="1"/>
  <c r="Y33" i="1" s="1"/>
  <c r="AA33" i="1" s="1"/>
  <c r="AA51" i="1" l="1"/>
  <c r="AB52" i="1" s="1"/>
  <c r="AB51" i="1"/>
  <c r="AB53" i="1" l="1"/>
  <c r="AE51" i="1"/>
  <c r="AE52" i="1"/>
  <c r="AC53" i="1" l="1"/>
  <c r="AD53" i="1" s="1"/>
  <c r="AE53" i="1"/>
  <c r="AF53" i="1" s="1"/>
  <c r="AG53" i="1" s="1"/>
  <c r="AC54" i="1" l="1"/>
  <c r="AD54" i="1" s="1"/>
  <c r="AE54" i="1"/>
  <c r="AF54" i="1"/>
  <c r="AG54" i="1" l="1"/>
  <c r="AF55" i="1"/>
  <c r="AG55" i="1" s="1"/>
</calcChain>
</file>

<file path=xl/comments1.xml><?xml version="1.0" encoding="utf-8"?>
<comments xmlns="http://schemas.openxmlformats.org/spreadsheetml/2006/main">
  <authors>
    <author>ผู้เขียน</author>
  </authors>
  <commentList>
    <comment ref="BL8" authorId="0">
      <text>
        <r>
          <rPr>
            <b/>
            <sz val="8"/>
            <color indexed="81"/>
            <rFont val="Tahoma"/>
            <family val="2"/>
          </rPr>
          <t>ผู้เขียน:</t>
        </r>
        <r>
          <rPr>
            <sz val="8"/>
            <color indexed="81"/>
            <rFont val="Tahoma"/>
            <family val="2"/>
          </rPr>
          <t xml:space="preserve">
ให้ระบุงวดสุดท้ายที่กำหนดไว้เป็นวันที่</t>
        </r>
      </text>
    </comment>
    <comment ref="BS8" authorId="0">
      <text>
        <r>
          <rPr>
            <b/>
            <sz val="10"/>
            <color indexed="81"/>
            <rFont val="Tahoma"/>
            <family val="2"/>
          </rPr>
          <t>ผู้เขียน:</t>
        </r>
        <r>
          <rPr>
            <sz val="10"/>
            <color indexed="81"/>
            <rFont val="Tahoma"/>
            <family val="2"/>
          </rPr>
          <t xml:space="preserve">
ระบบคิดงวดขยายให้อัตโนมัติแต่ถ้าไม่ต้องการให้ระบบจัดการกรุณาระบุงวดชำระสุดท้ายที่ต้องการขยาย</t>
        </r>
      </text>
    </comment>
  </commentList>
</comments>
</file>

<file path=xl/sharedStrings.xml><?xml version="1.0" encoding="utf-8"?>
<sst xmlns="http://schemas.openxmlformats.org/spreadsheetml/2006/main" count="218" uniqueCount="112">
  <si>
    <t>ปี</t>
  </si>
  <si>
    <t>ปัด</t>
  </si>
  <si>
    <t>สุทธิ</t>
  </si>
  <si>
    <t>เลขที่สัญญา</t>
  </si>
  <si>
    <t>เดือน</t>
  </si>
  <si>
    <t>จำนวนเงิน</t>
  </si>
  <si>
    <t>เขต</t>
  </si>
  <si>
    <t>3 จว</t>
  </si>
  <si>
    <t>หน่วย</t>
  </si>
  <si>
    <t>เลขทะเบียน</t>
  </si>
  <si>
    <t>กลุ่ม</t>
  </si>
  <si>
    <t>ประเภทสัญญา</t>
  </si>
  <si>
    <t>รหัสชั้นสัญญา</t>
  </si>
  <si>
    <t>หลักประกัน</t>
  </si>
  <si>
    <t>วงเงินกู้</t>
  </si>
  <si>
    <t>โอนเงินกู้</t>
  </si>
  <si>
    <t>สัญญาสิ้นสุด</t>
  </si>
  <si>
    <t>ดอกปกติ</t>
  </si>
  <si>
    <t>ต้นเงินปกติ</t>
  </si>
  <si>
    <t>ดอกปรับ</t>
  </si>
  <si>
    <t>ต้นเงินค้าง</t>
  </si>
  <si>
    <t>LS</t>
  </si>
  <si>
    <t>DLS</t>
  </si>
  <si>
    <t>โครงการ</t>
  </si>
  <si>
    <t>ดอกเบี้ย</t>
  </si>
  <si>
    <t>วันที่ติดต่อ</t>
  </si>
  <si>
    <t>หนี้รวม</t>
  </si>
  <si>
    <t>Index</t>
  </si>
  <si>
    <t>หนังสือกู้เงิน</t>
  </si>
  <si>
    <t>ลงวันที่</t>
  </si>
  <si>
    <t>เลขที่</t>
  </si>
  <si>
    <t>ต้นเงิน</t>
  </si>
  <si>
    <t>งวดชำระเดิม</t>
  </si>
  <si>
    <t>งวดแรก</t>
  </si>
  <si>
    <t>ระบุงวด</t>
  </si>
  <si>
    <t>3211</t>
  </si>
  <si>
    <t>03</t>
  </si>
  <si>
    <t>B</t>
  </si>
  <si>
    <t>2</t>
  </si>
  <si>
    <t>6006</t>
  </si>
  <si>
    <t>0</t>
  </si>
  <si>
    <t>00</t>
  </si>
  <si>
    <t>นายเจะวานิ ไอซา</t>
  </si>
  <si>
    <t>โปรแกรมระบบพักชำระหนี้</t>
  </si>
  <si>
    <t>ตารางคำนวณ</t>
  </si>
  <si>
    <t>ชื่อ-สกุลลูกค้า</t>
  </si>
  <si>
    <t>เลทะเบียน</t>
  </si>
  <si>
    <t>เดือนปกติ</t>
  </si>
  <si>
    <t>ชื่อ - สกุล</t>
  </si>
  <si>
    <t>ที่อยู่</t>
  </si>
  <si>
    <t>รหัสโครงการ</t>
  </si>
  <si>
    <t>ปีสุดท้ายของโครงการที่แล้ว</t>
  </si>
  <si>
    <t>หมายเหตุ</t>
  </si>
  <si>
    <t>28/1 ม.4 ต.กะรุบี</t>
  </si>
  <si>
    <t>งวดแรกที่ชำระ</t>
  </si>
  <si>
    <t>ลำดับที่</t>
  </si>
  <si>
    <t>เลขที่บัญชี</t>
  </si>
  <si>
    <t>ปีที่ประสบภัย</t>
  </si>
  <si>
    <t>หนี้คงเหลือ</t>
  </si>
  <si>
    <t>ระบุจำนวนเงิน</t>
  </si>
  <si>
    <t>อายุสัญญา 20 ปี</t>
  </si>
  <si>
    <t>งวดชำระขยายถึง</t>
  </si>
  <si>
    <t>และอีกงวดจำนวน</t>
  </si>
  <si>
    <t>รวมงวดชำระ</t>
  </si>
  <si>
    <t>งวด</t>
  </si>
  <si>
    <t>ค้างจริง</t>
  </si>
  <si>
    <t>พักชำระหนี้เหตุประสบภัยพิบัติ</t>
  </si>
  <si>
    <t>ทะเบียน</t>
  </si>
  <si>
    <t>ชื่อ</t>
  </si>
  <si>
    <t>ประเภท</t>
  </si>
  <si>
    <t>สัญญาแม่</t>
  </si>
  <si>
    <t>ต้นปกติ</t>
  </si>
  <si>
    <t>งวดชำระปีประสบภัย</t>
  </si>
  <si>
    <t>จำนวน</t>
  </si>
  <si>
    <t>งวดชำระสุดท้าย</t>
  </si>
  <si>
    <t>x</t>
  </si>
  <si>
    <t>เพื่อเป็นค่าลงทุน</t>
  </si>
  <si>
    <t>6(2)</t>
  </si>
  <si>
    <t>งวดที่1</t>
  </si>
  <si>
    <t>พักหนี้3จว</t>
  </si>
  <si>
    <t/>
  </si>
  <si>
    <t>วันที่</t>
  </si>
  <si>
    <t>30 เมษายน 2555</t>
  </si>
  <si>
    <t>ชำระ</t>
  </si>
  <si>
    <t>ต้นเงินจำนวน</t>
  </si>
  <si>
    <t xml:space="preserve"> บาท </t>
  </si>
  <si>
    <t xml:space="preserve">  </t>
  </si>
  <si>
    <t>รายได้</t>
  </si>
  <si>
    <t>รายจ่าย</t>
  </si>
  <si>
    <t>%</t>
  </si>
  <si>
    <t>งวดที่ 2ถึงงวดที่</t>
  </si>
  <si>
    <t>นายคาเดร์ ซาฮา</t>
  </si>
  <si>
    <t>6(3)</t>
  </si>
  <si>
    <t>30-กันยายน</t>
  </si>
  <si>
    <t>ถึงวันที่</t>
  </si>
  <si>
    <t>30 กันยายน 2559</t>
  </si>
  <si>
    <t xml:space="preserve"> ชำระต้นเงิน </t>
  </si>
  <si>
    <t>จำนวนงวดละ</t>
  </si>
  <si>
    <t>พักหนี้อุทกภัย</t>
  </si>
  <si>
    <t>บาท</t>
  </si>
  <si>
    <t xml:space="preserve"> และงวดที่7วันที่</t>
  </si>
  <si>
    <t>ชำระต้นเงินจำนวน</t>
  </si>
  <si>
    <t xml:space="preserve"> โดยชำระภายในวันที่ </t>
  </si>
  <si>
    <t>ของทุกปี</t>
  </si>
  <si>
    <t>เพื่อเป็นค่าใช้จ่าย</t>
  </si>
  <si>
    <t>เพื่อรับใช้หนี้</t>
  </si>
  <si>
    <t>ปรับปรุงโครงสร้างหนี้ส่วนต้นเงิน</t>
  </si>
  <si>
    <t>6(1)</t>
  </si>
  <si>
    <t>ชุดแรก</t>
  </si>
  <si>
    <t>ชุดที่2</t>
  </si>
  <si>
    <t>ทำอย่างไรที่จะให้ช่องที่มีเลข 0 ให้ใส่ตัวเลขจากเงินที่เหลือ 12000 หารด้วยจำนวน 0 เช่นตอนนี้ 0 มี 3 ตัว = 12000/3 = 4000</t>
  </si>
  <si>
    <t>จะให้ที่เป็น 0 เป็น 4000 รวมกันแล้ว 1-2 ต้องเท่ากับ วงเงินกู้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</si>
</sst>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-* #,##0.00_-;\-* #,##0.00_-;_-* &quot;-&quot;??_-;_-@_-"/>
    <numFmt numFmtId="187" formatCode="d\ mmm\ yy"/>
    <numFmt numFmtId="188" formatCode="d\ mmm\ bb"/>
    <numFmt numFmtId="189" formatCode="[$-1070000]d/mm/yyyy;@"/>
    <numFmt numFmtId="190" formatCode="d\ mmmm\ bbbb"/>
    <numFmt numFmtId="191" formatCode="dd/m/yyyy"/>
    <numFmt numFmtId="192" formatCode="_-* #,##0_-;\-* #,##0_-;_-* &quot;-&quot;??_-;_-@_-"/>
    <numFmt numFmtId="193" formatCode="[$-F800]dddd\,\ mmmm\ dd\,\ yyyy"/>
    <numFmt numFmtId="194" formatCode="d/mmmm/bbbb"/>
    <numFmt numFmtId="195" formatCode="[$-101041E]d\ mmm\ yy;@"/>
    <numFmt numFmtId="196" formatCode="00\-00000\-0"/>
    <numFmt numFmtId="197" formatCode="d\-mmmm"/>
    <numFmt numFmtId="198" formatCode="bbbb"/>
    <numFmt numFmtId="199" formatCode="yyyy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5">
    <xf numFmtId="0" fontId="0" fillId="0" borderId="0" xfId="0"/>
    <xf numFmtId="0" fontId="2" fillId="0" borderId="0" xfId="0" applyFont="1"/>
    <xf numFmtId="188" fontId="2" fillId="0" borderId="0" xfId="0" applyNumberFormat="1" applyFont="1"/>
    <xf numFmtId="0" fontId="2" fillId="0" borderId="0" xfId="0" applyFont="1" applyFill="1" applyBorder="1"/>
    <xf numFmtId="1" fontId="3" fillId="0" borderId="0" xfId="0" applyNumberFormat="1" applyFont="1"/>
    <xf numFmtId="0" fontId="3" fillId="0" borderId="0" xfId="0" applyFont="1"/>
    <xf numFmtId="0" fontId="2" fillId="0" borderId="0" xfId="0" applyFont="1" applyFill="1"/>
    <xf numFmtId="0" fontId="2" fillId="3" borderId="0" xfId="0" applyFont="1" applyFill="1"/>
    <xf numFmtId="192" fontId="2" fillId="0" borderId="0" xfId="0" applyNumberFormat="1" applyFont="1" applyFill="1"/>
    <xf numFmtId="0" fontId="4" fillId="0" borderId="0" xfId="0" applyFont="1" applyFill="1" applyAlignment="1">
      <alignment vertical="center"/>
    </xf>
    <xf numFmtId="194" fontId="4" fillId="0" borderId="0" xfId="0" applyNumberFormat="1" applyFont="1" applyFill="1" applyAlignment="1">
      <alignment horizontal="center" vertical="center"/>
    </xf>
    <xf numFmtId="0" fontId="2" fillId="0" borderId="1" xfId="0" applyFont="1" applyBorder="1"/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3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horizontal="right" vertical="center"/>
    </xf>
    <xf numFmtId="192" fontId="2" fillId="3" borderId="1" xfId="1" applyNumberFormat="1" applyFont="1" applyFill="1" applyBorder="1" applyAlignment="1">
      <alignment vertical="center"/>
    </xf>
    <xf numFmtId="192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192" fontId="2" fillId="0" borderId="0" xfId="1" applyNumberFormat="1" applyFont="1" applyFill="1" applyAlignment="1">
      <alignment vertical="center"/>
    </xf>
    <xf numFmtId="0" fontId="10" fillId="0" borderId="0" xfId="0" applyFont="1"/>
    <xf numFmtId="0" fontId="10" fillId="0" borderId="0" xfId="0" applyFont="1" applyFill="1" applyAlignment="1">
      <alignment vertical="center"/>
    </xf>
    <xf numFmtId="43" fontId="10" fillId="0" borderId="0" xfId="0" applyNumberFormat="1" applyFont="1" applyFill="1" applyAlignment="1">
      <alignment vertical="center"/>
    </xf>
    <xf numFmtId="0" fontId="10" fillId="0" borderId="0" xfId="0" applyFont="1" applyFill="1"/>
    <xf numFmtId="0" fontId="10" fillId="3" borderId="0" xfId="0" applyFont="1" applyFill="1"/>
    <xf numFmtId="0" fontId="10" fillId="4" borderId="0" xfId="0" applyFont="1" applyFill="1" applyAlignment="1">
      <alignment vertical="center"/>
    </xf>
    <xf numFmtId="191" fontId="10" fillId="0" borderId="0" xfId="0" applyNumberFormat="1" applyFont="1" applyFill="1" applyAlignment="1">
      <alignment vertical="center"/>
    </xf>
    <xf numFmtId="0" fontId="10" fillId="0" borderId="0" xfId="0" applyFont="1" applyFill="1" applyAlignment="1"/>
    <xf numFmtId="193" fontId="10" fillId="3" borderId="0" xfId="0" applyNumberFormat="1" applyFont="1" applyFill="1"/>
    <xf numFmtId="190" fontId="10" fillId="3" borderId="0" xfId="0" applyNumberFormat="1" applyFont="1" applyFill="1"/>
    <xf numFmtId="0" fontId="10" fillId="2" borderId="1" xfId="0" applyFont="1" applyFill="1" applyBorder="1"/>
    <xf numFmtId="0" fontId="10" fillId="0" borderId="1" xfId="0" applyFont="1" applyBorder="1"/>
    <xf numFmtId="0" fontId="10" fillId="0" borderId="0" xfId="0" applyFont="1" applyBorder="1"/>
    <xf numFmtId="190" fontId="10" fillId="0" borderId="0" xfId="0" applyNumberFormat="1" applyFont="1"/>
    <xf numFmtId="193" fontId="10" fillId="0" borderId="0" xfId="0" applyNumberFormat="1" applyFont="1" applyFill="1"/>
    <xf numFmtId="190" fontId="10" fillId="0" borderId="0" xfId="0" applyNumberFormat="1" applyFont="1" applyFill="1"/>
    <xf numFmtId="190" fontId="10" fillId="0" borderId="1" xfId="0" applyNumberFormat="1" applyFont="1" applyBorder="1"/>
    <xf numFmtId="0" fontId="10" fillId="0" borderId="1" xfId="0" applyFont="1" applyFill="1" applyBorder="1" applyAlignment="1">
      <alignment horizontal="center" vertical="center"/>
    </xf>
    <xf numFmtId="192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192" fontId="10" fillId="0" borderId="0" xfId="1" applyNumberFormat="1" applyFont="1" applyFill="1" applyAlignment="1">
      <alignment vertical="center"/>
    </xf>
    <xf numFmtId="0" fontId="10" fillId="3" borderId="12" xfId="0" applyFont="1" applyFill="1" applyBorder="1" applyAlignment="1">
      <alignment horizontal="right" vertical="center"/>
    </xf>
    <xf numFmtId="192" fontId="10" fillId="3" borderId="1" xfId="1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/>
    </xf>
    <xf numFmtId="198" fontId="10" fillId="3" borderId="1" xfId="0" applyNumberFormat="1" applyFont="1" applyFill="1" applyBorder="1" applyAlignment="1">
      <alignment horizontal="right" vertical="center"/>
    </xf>
    <xf numFmtId="192" fontId="10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199" fontId="10" fillId="3" borderId="1" xfId="0" applyNumberFormat="1" applyFont="1" applyFill="1" applyBorder="1" applyAlignment="1">
      <alignment horizontal="left" vertical="center"/>
    </xf>
    <xf numFmtId="193" fontId="10" fillId="3" borderId="1" xfId="0" applyNumberFormat="1" applyFont="1" applyFill="1" applyBorder="1" applyAlignment="1">
      <alignment horizontal="left" vertical="center"/>
    </xf>
    <xf numFmtId="192" fontId="10" fillId="3" borderId="1" xfId="1" applyNumberFormat="1" applyFont="1" applyFill="1" applyBorder="1" applyAlignment="1">
      <alignment horizontal="left" vertical="center"/>
    </xf>
    <xf numFmtId="192" fontId="10" fillId="0" borderId="0" xfId="1" applyNumberFormat="1" applyFont="1" applyFill="1" applyAlignment="1">
      <alignment horizontal="left" vertical="center"/>
    </xf>
    <xf numFmtId="197" fontId="10" fillId="3" borderId="1" xfId="0" applyNumberFormat="1" applyFont="1" applyFill="1" applyBorder="1" applyAlignment="1">
      <alignment vertical="center"/>
    </xf>
    <xf numFmtId="192" fontId="10" fillId="0" borderId="0" xfId="1" applyNumberFormat="1" applyFont="1" applyFill="1" applyAlignment="1">
      <alignment horizontal="center" vertical="center"/>
    </xf>
    <xf numFmtId="0" fontId="10" fillId="2" borderId="0" xfId="0" applyFont="1" applyFill="1"/>
    <xf numFmtId="187" fontId="10" fillId="0" borderId="0" xfId="0" applyNumberFormat="1" applyFont="1"/>
    <xf numFmtId="14" fontId="10" fillId="0" borderId="0" xfId="0" applyNumberFormat="1" applyFont="1"/>
    <xf numFmtId="0" fontId="10" fillId="0" borderId="0" xfId="0" applyFont="1" applyFill="1" applyAlignment="1">
      <alignment horizontal="right" vertical="center"/>
    </xf>
    <xf numFmtId="188" fontId="10" fillId="0" borderId="0" xfId="0" applyNumberFormat="1" applyFont="1"/>
    <xf numFmtId="0" fontId="10" fillId="0" borderId="0" xfId="0" applyFont="1" applyFill="1" applyAlignment="1">
      <alignment horizontal="center" vertical="center"/>
    </xf>
    <xf numFmtId="197" fontId="10" fillId="0" borderId="0" xfId="0" applyNumberFormat="1" applyFont="1" applyFill="1" applyAlignment="1">
      <alignment vertical="center"/>
    </xf>
    <xf numFmtId="199" fontId="10" fillId="0" borderId="0" xfId="0" applyNumberFormat="1" applyFont="1" applyFill="1" applyAlignment="1">
      <alignment horizontal="right" vertical="center"/>
    </xf>
    <xf numFmtId="193" fontId="10" fillId="0" borderId="0" xfId="0" applyNumberFormat="1" applyFont="1" applyFill="1" applyAlignment="1">
      <alignment vertical="center"/>
    </xf>
    <xf numFmtId="192" fontId="10" fillId="0" borderId="0" xfId="0" applyNumberFormat="1" applyFont="1" applyFill="1" applyAlignment="1">
      <alignment horizontal="left" vertical="center"/>
    </xf>
    <xf numFmtId="199" fontId="10" fillId="0" borderId="0" xfId="0" applyNumberFormat="1" applyFont="1" applyFill="1" applyAlignment="1">
      <alignment vertical="center"/>
    </xf>
    <xf numFmtId="199" fontId="10" fillId="0" borderId="0" xfId="0" applyNumberFormat="1" applyFont="1" applyFill="1" applyAlignment="1">
      <alignment horizontal="left" vertical="center"/>
    </xf>
    <xf numFmtId="0" fontId="10" fillId="5" borderId="1" xfId="0" applyFont="1" applyFill="1" applyBorder="1"/>
    <xf numFmtId="16" fontId="10" fillId="0" borderId="0" xfId="0" applyNumberFormat="1" applyFont="1"/>
    <xf numFmtId="188" fontId="10" fillId="0" borderId="1" xfId="0" applyNumberFormat="1" applyFont="1" applyBorder="1"/>
    <xf numFmtId="189" fontId="10" fillId="0" borderId="1" xfId="0" applyNumberFormat="1" applyFont="1" applyBorder="1"/>
    <xf numFmtId="3" fontId="10" fillId="5" borderId="1" xfId="0" applyNumberFormat="1" applyFont="1" applyFill="1" applyBorder="1"/>
    <xf numFmtId="0" fontId="10" fillId="0" borderId="0" xfId="0" applyNumberFormat="1" applyFont="1"/>
    <xf numFmtId="0" fontId="10" fillId="0" borderId="2" xfId="0" applyFont="1" applyFill="1" applyBorder="1"/>
    <xf numFmtId="0" fontId="10" fillId="5" borderId="1" xfId="0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0" fontId="10" fillId="6" borderId="0" xfId="0" applyFont="1" applyFill="1"/>
    <xf numFmtId="0" fontId="10" fillId="6" borderId="2" xfId="0" applyFont="1" applyFill="1" applyBorder="1"/>
    <xf numFmtId="0" fontId="10" fillId="6" borderId="1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92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95" fontId="10" fillId="0" borderId="9" xfId="0" applyNumberFormat="1" applyFont="1" applyFill="1" applyBorder="1" applyAlignment="1">
      <alignment horizontal="center" vertical="center"/>
    </xf>
    <xf numFmtId="195" fontId="10" fillId="0" borderId="10" xfId="0" applyNumberFormat="1" applyFont="1" applyFill="1" applyBorder="1" applyAlignment="1">
      <alignment horizontal="center" vertical="center"/>
    </xf>
    <xf numFmtId="195" fontId="10" fillId="0" borderId="11" xfId="0" applyNumberFormat="1" applyFont="1" applyFill="1" applyBorder="1" applyAlignment="1">
      <alignment horizontal="center" vertical="center"/>
    </xf>
    <xf numFmtId="196" fontId="10" fillId="0" borderId="1" xfId="0" applyNumberFormat="1" applyFont="1" applyFill="1" applyBorder="1" applyAlignment="1">
      <alignment horizontal="center" vertical="center"/>
    </xf>
    <xf numFmtId="194" fontId="4" fillId="0" borderId="0" xfId="0" applyNumberFormat="1" applyFont="1" applyFill="1" applyAlignment="1">
      <alignment horizontal="center" vertical="center"/>
    </xf>
    <xf numFmtId="0" fontId="10" fillId="0" borderId="0" xfId="0" quotePrefix="1" applyFont="1" applyFill="1" applyAlignment="1">
      <alignment horizontal="center" vertical="center"/>
    </xf>
    <xf numFmtId="0" fontId="10" fillId="0" borderId="0" xfId="0" applyFont="1" applyFill="1" applyAlignment="1">
      <alignment horizontal="right" vertical="center"/>
    </xf>
    <xf numFmtId="192" fontId="10" fillId="0" borderId="1" xfId="1" applyNumberFormat="1" applyFont="1" applyFill="1" applyBorder="1" applyAlignment="1">
      <alignment horizontal="center" vertical="center"/>
    </xf>
    <xf numFmtId="43" fontId="10" fillId="0" borderId="1" xfId="1" applyFont="1" applyFill="1" applyBorder="1" applyAlignment="1">
      <alignment horizontal="center" vertical="center"/>
    </xf>
    <xf numFmtId="190" fontId="10" fillId="0" borderId="1" xfId="0" applyNumberFormat="1" applyFont="1" applyFill="1" applyBorder="1" applyAlignment="1">
      <alignment horizontal="center" vertical="center"/>
    </xf>
    <xf numFmtId="195" fontId="10" fillId="0" borderId="1" xfId="1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14" fontId="10" fillId="0" borderId="9" xfId="0" applyNumberFormat="1" applyFont="1" applyFill="1" applyBorder="1" applyAlignment="1">
      <alignment horizontal="center" vertical="center"/>
    </xf>
    <xf numFmtId="14" fontId="10" fillId="0" borderId="10" xfId="0" applyNumberFormat="1" applyFont="1" applyFill="1" applyBorder="1" applyAlignment="1">
      <alignment horizontal="center" vertical="center"/>
    </xf>
    <xf numFmtId="14" fontId="10" fillId="0" borderId="11" xfId="0" applyNumberFormat="1" applyFont="1" applyFill="1" applyBorder="1" applyAlignment="1">
      <alignment horizontal="center" vertical="center"/>
    </xf>
    <xf numFmtId="192" fontId="10" fillId="0" borderId="9" xfId="0" applyNumberFormat="1" applyFont="1" applyFill="1" applyBorder="1" applyAlignment="1">
      <alignment horizontal="center" vertical="center"/>
    </xf>
    <xf numFmtId="192" fontId="10" fillId="0" borderId="10" xfId="0" applyNumberFormat="1" applyFont="1" applyFill="1" applyBorder="1" applyAlignment="1">
      <alignment horizontal="center" vertical="center"/>
    </xf>
    <xf numFmtId="192" fontId="10" fillId="0" borderId="11" xfId="0" applyNumberFormat="1" applyFont="1" applyFill="1" applyBorder="1" applyAlignment="1">
      <alignment horizontal="center" vertical="center"/>
    </xf>
    <xf numFmtId="43" fontId="10" fillId="0" borderId="1" xfId="0" applyNumberFormat="1" applyFont="1" applyFill="1" applyBorder="1" applyAlignment="1">
      <alignment horizontal="center" vertical="center"/>
    </xf>
    <xf numFmtId="43" fontId="10" fillId="0" borderId="9" xfId="1" applyFont="1" applyFill="1" applyBorder="1" applyAlignment="1">
      <alignment horizontal="center" vertical="center"/>
    </xf>
    <xf numFmtId="43" fontId="10" fillId="0" borderId="10" xfId="1" applyFont="1" applyFill="1" applyBorder="1" applyAlignment="1">
      <alignment horizontal="center" vertical="center"/>
    </xf>
    <xf numFmtId="43" fontId="10" fillId="0" borderId="11" xfId="1" applyFont="1" applyFill="1" applyBorder="1" applyAlignment="1">
      <alignment horizontal="center" vertical="center"/>
    </xf>
    <xf numFmtId="193" fontId="10" fillId="0" borderId="1" xfId="0" applyNumberFormat="1" applyFont="1" applyFill="1" applyBorder="1" applyAlignment="1">
      <alignment horizontal="center" vertical="center"/>
    </xf>
    <xf numFmtId="190" fontId="2" fillId="0" borderId="0" xfId="0" applyNumberFormat="1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center" vertical="center"/>
    </xf>
    <xf numFmtId="190" fontId="10" fillId="3" borderId="12" xfId="0" applyNumberFormat="1" applyFont="1" applyFill="1" applyBorder="1" applyAlignment="1">
      <alignment horizontal="center" vertical="center"/>
    </xf>
    <xf numFmtId="190" fontId="10" fillId="3" borderId="12" xfId="0" applyNumberFormat="1" applyFont="1" applyFill="1" applyBorder="1" applyAlignment="1">
      <alignment horizontal="left" vertical="center"/>
    </xf>
    <xf numFmtId="192" fontId="10" fillId="3" borderId="12" xfId="1" applyNumberFormat="1" applyFont="1" applyFill="1" applyBorder="1" applyAlignment="1">
      <alignment horizontal="center" vertical="center"/>
    </xf>
    <xf numFmtId="192" fontId="10" fillId="3" borderId="12" xfId="1" applyNumberFormat="1" applyFont="1" applyFill="1" applyBorder="1" applyAlignment="1">
      <alignment horizontal="left" vertical="center"/>
    </xf>
    <xf numFmtId="192" fontId="10" fillId="3" borderId="1" xfId="1" applyNumberFormat="1" applyFont="1" applyFill="1" applyBorder="1" applyAlignment="1">
      <alignment horizontal="left" vertical="center"/>
    </xf>
    <xf numFmtId="197" fontId="10" fillId="3" borderId="1" xfId="0" applyNumberFormat="1" applyFont="1" applyFill="1" applyBorder="1" applyAlignment="1">
      <alignment horizontal="center" vertical="center"/>
    </xf>
    <xf numFmtId="190" fontId="10" fillId="3" borderId="1" xfId="0" applyNumberFormat="1" applyFont="1" applyFill="1" applyBorder="1" applyAlignment="1">
      <alignment horizontal="left" vertical="center"/>
    </xf>
    <xf numFmtId="192" fontId="2" fillId="3" borderId="1" xfId="1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92" fontId="10" fillId="0" borderId="0" xfId="1" applyNumberFormat="1" applyFont="1" applyFill="1" applyAlignment="1">
      <alignment horizontal="center" vertical="center"/>
    </xf>
    <xf numFmtId="197" fontId="10" fillId="3" borderId="1" xfId="0" applyNumberFormat="1" applyFont="1" applyFill="1" applyBorder="1" applyAlignment="1">
      <alignment horizontal="right" vertical="center"/>
    </xf>
    <xf numFmtId="198" fontId="10" fillId="3" borderId="1" xfId="0" applyNumberFormat="1" applyFont="1" applyFill="1" applyBorder="1" applyAlignment="1">
      <alignment horizontal="left" vertical="center"/>
    </xf>
    <xf numFmtId="192" fontId="10" fillId="3" borderId="1" xfId="1" applyNumberFormat="1" applyFont="1" applyFill="1" applyBorder="1" applyAlignment="1">
      <alignment horizontal="center" vertical="center"/>
    </xf>
    <xf numFmtId="197" fontId="10" fillId="0" borderId="0" xfId="0" applyNumberFormat="1" applyFont="1" applyFill="1" applyAlignment="1">
      <alignment horizontal="right" vertical="center"/>
    </xf>
    <xf numFmtId="199" fontId="10" fillId="0" borderId="0" xfId="0" applyNumberFormat="1" applyFont="1" applyFill="1" applyAlignment="1">
      <alignment horizontal="left" vertical="center"/>
    </xf>
    <xf numFmtId="197" fontId="10" fillId="0" borderId="0" xfId="0" applyNumberFormat="1" applyFont="1" applyFill="1" applyAlignment="1">
      <alignment horizontal="center" vertical="center"/>
    </xf>
    <xf numFmtId="193" fontId="10" fillId="0" borderId="0" xfId="0" applyNumberFormat="1" applyFont="1" applyFill="1" applyAlignment="1">
      <alignment horizontal="center" vertical="center"/>
    </xf>
    <xf numFmtId="193" fontId="10" fillId="0" borderId="0" xfId="0" applyNumberFormat="1" applyFont="1" applyFill="1" applyAlignment="1">
      <alignment horizontal="left" vertical="center"/>
    </xf>
    <xf numFmtId="192" fontId="10" fillId="0" borderId="0" xfId="1" applyNumberFormat="1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31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9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42"/>
      </font>
    </dxf>
    <dxf>
      <font>
        <condense val="0"/>
        <extend val="0"/>
        <color indexed="42"/>
      </font>
    </dxf>
    <dxf>
      <font>
        <condense val="0"/>
        <extend val="0"/>
        <color indexed="5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619125</xdr:colOff>
          <xdr:row>27</xdr:row>
          <xdr:rowOff>47625</xdr:rowOff>
        </xdr:from>
        <xdr:to>
          <xdr:col>37</xdr:col>
          <xdr:colOff>400050</xdr:colOff>
          <xdr:row>29</xdr:row>
          <xdr:rowOff>38100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DumP/Dum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คัดเลือก"/>
      <sheetName val="แสดงรายคน"/>
      <sheetName val="master"/>
      <sheetName val="play"/>
      <sheetName val="tblsaving"/>
      <sheetName val="Ac"/>
      <sheetName val="fil"/>
      <sheetName val="copfil"/>
      <sheetName val="FileA"/>
      <sheetName val="FileB"/>
      <sheetName val="FileC"/>
      <sheetName val="FileD"/>
      <sheetName val="Perx"/>
      <sheetName val="Pergaran"/>
      <sheetName val="Regasset"/>
      <sheetName val="Lone"/>
      <sheetName val="lonedata"/>
      <sheetName val="Coplone"/>
      <sheetName val="Report"/>
      <sheetName val="Retext"/>
      <sheetName val="Mail"/>
      <sheetName val="Credit"/>
      <sheetName val="Cashfiow"/>
      <sheetName val="DataC"/>
      <sheetName val="Drop"/>
      <sheetName val="Drp"/>
      <sheetName val="DumP"/>
      <sheetName val="CalDrp"/>
    </sheetNames>
    <sheetDataSet>
      <sheetData sheetId="0"/>
      <sheetData sheetId="1"/>
      <sheetData sheetId="2">
        <row r="100">
          <cell r="C100" t="str">
            <v>พ.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Z100"/>
  <sheetViews>
    <sheetView tabSelected="1" topLeftCell="R22" workbookViewId="0">
      <selection activeCell="W32" sqref="W32"/>
    </sheetView>
  </sheetViews>
  <sheetFormatPr defaultRowHeight="12.75" x14ac:dyDescent="0.2"/>
  <cols>
    <col min="1" max="1" width="15.25" style="21" customWidth="1"/>
    <col min="2" max="2" width="9.125" style="21" bestFit="1" customWidth="1"/>
    <col min="3" max="3" width="12.875" style="21" customWidth="1"/>
    <col min="4" max="4" width="12" style="21" bestFit="1" customWidth="1"/>
    <col min="5" max="5" width="15.5" style="21" customWidth="1"/>
    <col min="6" max="8" width="9.125" style="21" bestFit="1" customWidth="1"/>
    <col min="9" max="10" width="14.625" style="21" bestFit="1" customWidth="1"/>
    <col min="11" max="11" width="7.875" style="21" customWidth="1"/>
    <col min="12" max="12" width="12.125" style="21" customWidth="1"/>
    <col min="13" max="13" width="9.5" style="21" customWidth="1"/>
    <col min="14" max="14" width="17.375" style="21" customWidth="1"/>
    <col min="15" max="15" width="13.875" style="21" customWidth="1"/>
    <col min="16" max="16" width="16.875" style="21" customWidth="1"/>
    <col min="17" max="17" width="14.625" style="21" bestFit="1" customWidth="1"/>
    <col min="18" max="18" width="9.875" style="21" customWidth="1"/>
    <col min="19" max="19" width="10.5" style="21" customWidth="1"/>
    <col min="20" max="20" width="15.625" style="21" customWidth="1"/>
    <col min="21" max="29" width="9.125" style="21" bestFit="1" customWidth="1"/>
    <col min="30" max="30" width="9" style="21" bestFit="1" customWidth="1"/>
    <col min="31" max="33" width="9.125" style="21" bestFit="1" customWidth="1"/>
    <col min="34" max="34" width="10.5" style="21" customWidth="1"/>
    <col min="35" max="36" width="9.125" style="21" bestFit="1" customWidth="1"/>
    <col min="37" max="37" width="9.375" style="21" bestFit="1" customWidth="1"/>
    <col min="38" max="38" width="9.125" style="21" bestFit="1" customWidth="1"/>
    <col min="39" max="42" width="3.75" style="22" customWidth="1"/>
    <col min="43" max="43" width="4.5" style="22" customWidth="1"/>
    <col min="44" max="46" width="3.75" style="22" customWidth="1"/>
    <col min="47" max="47" width="4" style="22" customWidth="1"/>
    <col min="48" max="48" width="3.625" style="22" customWidth="1"/>
    <col min="49" max="49" width="3.5" style="22" customWidth="1"/>
    <col min="50" max="50" width="3.125" style="22" customWidth="1"/>
    <col min="51" max="51" width="3.5" style="22" customWidth="1"/>
    <col min="52" max="52" width="3.25" style="22" customWidth="1"/>
    <col min="53" max="53" width="4.875" style="22" customWidth="1"/>
    <col min="54" max="54" width="8.375" style="22" customWidth="1"/>
    <col min="55" max="55" width="5.5" style="22" customWidth="1"/>
    <col min="56" max="56" width="2.625" style="22" customWidth="1"/>
    <col min="57" max="57" width="13.625" style="22" customWidth="1"/>
    <col min="58" max="58" width="3" style="22" customWidth="1"/>
    <col min="59" max="59" width="6.75" style="22" customWidth="1"/>
    <col min="60" max="61" width="5.5" style="22" customWidth="1"/>
    <col min="62" max="62" width="5.75" style="22" customWidth="1"/>
    <col min="63" max="63" width="6.5" style="22" customWidth="1"/>
    <col min="64" max="64" width="4.625" style="22" customWidth="1"/>
    <col min="65" max="65" width="4.125" style="22" customWidth="1"/>
    <col min="66" max="66" width="4.5" style="22" customWidth="1"/>
    <col min="67" max="67" width="5" style="22" customWidth="1"/>
    <col min="68" max="69" width="3" style="22" customWidth="1"/>
    <col min="70" max="70" width="1.75" style="22" customWidth="1"/>
    <col min="71" max="71" width="3.75" style="22" customWidth="1"/>
    <col min="72" max="72" width="2.75" style="22" customWidth="1"/>
    <col min="73" max="73" width="3.75" style="22" customWidth="1"/>
    <col min="74" max="74" width="3.5" style="22" customWidth="1"/>
    <col min="75" max="79" width="3.75" style="22" customWidth="1"/>
    <col min="80" max="80" width="9" style="24"/>
    <col min="81" max="81" width="14.25" style="24" bestFit="1" customWidth="1"/>
    <col min="82" max="82" width="13.25" style="24" bestFit="1" customWidth="1"/>
    <col min="83" max="84" width="9" style="24"/>
    <col min="85" max="85" width="20.375" style="24" customWidth="1"/>
    <col min="86" max="90" width="9" style="21"/>
    <col min="91" max="91" width="12.875" style="21" customWidth="1"/>
    <col min="92" max="92" width="14.75" style="21" customWidth="1"/>
    <col min="93" max="93" width="9" style="21"/>
    <col min="94" max="94" width="9.125" style="21" bestFit="1" customWidth="1"/>
    <col min="95" max="16384" width="9" style="21"/>
  </cols>
  <sheetData>
    <row r="1" spans="1:104" x14ac:dyDescent="0.2">
      <c r="A1" s="4" t="s">
        <v>3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  <c r="K1" s="5" t="s">
        <v>17</v>
      </c>
      <c r="L1" s="5" t="s">
        <v>18</v>
      </c>
      <c r="M1" s="5" t="s">
        <v>19</v>
      </c>
      <c r="N1" s="5" t="s">
        <v>20</v>
      </c>
      <c r="O1" s="5" t="s">
        <v>21</v>
      </c>
      <c r="P1" s="5" t="s">
        <v>22</v>
      </c>
      <c r="Q1" s="5" t="s">
        <v>23</v>
      </c>
      <c r="R1" s="5" t="s">
        <v>24</v>
      </c>
      <c r="S1" s="5" t="s">
        <v>25</v>
      </c>
      <c r="T1" s="5" t="s">
        <v>26</v>
      </c>
      <c r="V1" s="21" t="s">
        <v>3</v>
      </c>
      <c r="W1" s="21" t="s">
        <v>0</v>
      </c>
      <c r="X1" s="21" t="s">
        <v>4</v>
      </c>
      <c r="Y1" s="21" t="s">
        <v>5</v>
      </c>
      <c r="Z1" s="21" t="s">
        <v>6</v>
      </c>
      <c r="AA1" s="21">
        <f>MIN(W2:W25)</f>
        <v>56</v>
      </c>
      <c r="AB1" s="21">
        <f>MAX(X2:X25)</f>
        <v>6</v>
      </c>
      <c r="AC1" s="21">
        <f>MAX(W2:W25)</f>
        <v>61</v>
      </c>
      <c r="AF1" s="1" t="s">
        <v>7</v>
      </c>
      <c r="BI1" s="23"/>
      <c r="CC1" s="6"/>
      <c r="CD1" s="6"/>
      <c r="CE1" s="6" t="s">
        <v>27</v>
      </c>
      <c r="CF1" s="6" t="s">
        <v>28</v>
      </c>
      <c r="CG1" s="1" t="s">
        <v>29</v>
      </c>
      <c r="CH1" s="1" t="s">
        <v>30</v>
      </c>
      <c r="CI1" s="1" t="s">
        <v>13</v>
      </c>
      <c r="CJ1" s="1" t="s">
        <v>20</v>
      </c>
      <c r="CK1" s="1" t="s">
        <v>31</v>
      </c>
      <c r="CL1" s="1" t="s">
        <v>24</v>
      </c>
      <c r="CM1" s="1" t="s">
        <v>32</v>
      </c>
      <c r="CN1" s="1" t="s">
        <v>33</v>
      </c>
      <c r="CO1" s="1" t="s">
        <v>34</v>
      </c>
      <c r="CP1" s="1"/>
      <c r="CQ1" s="25"/>
      <c r="CR1" s="7"/>
      <c r="CS1" s="25"/>
      <c r="CT1" s="25"/>
      <c r="CU1" s="25"/>
      <c r="CV1" s="25"/>
      <c r="CW1" s="25"/>
      <c r="CX1" s="25"/>
      <c r="CY1" s="25"/>
      <c r="CZ1" s="25"/>
    </row>
    <row r="2" spans="1:104" x14ac:dyDescent="0.2">
      <c r="A2" s="21">
        <v>40028524</v>
      </c>
      <c r="B2" s="21" t="s">
        <v>35</v>
      </c>
      <c r="C2" s="21">
        <v>808</v>
      </c>
      <c r="D2" s="21">
        <v>34</v>
      </c>
      <c r="E2" s="21" t="s">
        <v>36</v>
      </c>
      <c r="F2" s="21" t="s">
        <v>37</v>
      </c>
      <c r="G2" s="21" t="s">
        <v>38</v>
      </c>
      <c r="H2" s="21">
        <v>50000</v>
      </c>
      <c r="I2" s="21">
        <v>50000</v>
      </c>
      <c r="J2" s="21" t="s">
        <v>39</v>
      </c>
      <c r="K2" s="21">
        <v>0</v>
      </c>
      <c r="L2" s="21">
        <v>50000</v>
      </c>
      <c r="M2" s="21">
        <v>0</v>
      </c>
      <c r="N2" s="21">
        <v>0</v>
      </c>
      <c r="O2" s="21" t="s">
        <v>40</v>
      </c>
      <c r="P2" s="21" t="s">
        <v>40</v>
      </c>
      <c r="Q2" s="21" t="s">
        <v>41</v>
      </c>
      <c r="R2" s="21">
        <v>17814.25</v>
      </c>
      <c r="S2" s="21">
        <v>520630</v>
      </c>
      <c r="T2" s="21">
        <v>50000</v>
      </c>
      <c r="U2" s="21">
        <v>1</v>
      </c>
      <c r="V2" s="21">
        <v>40028524</v>
      </c>
      <c r="W2" s="21">
        <v>56</v>
      </c>
      <c r="X2" s="21">
        <v>5</v>
      </c>
      <c r="Y2" s="21">
        <v>12000</v>
      </c>
      <c r="Z2" s="21">
        <f>IF(X2=4,0,Y2)</f>
        <v>12000</v>
      </c>
      <c r="AR2" s="26" t="s">
        <v>42</v>
      </c>
      <c r="AZ2" s="80" t="s">
        <v>43</v>
      </c>
      <c r="BA2" s="81"/>
      <c r="BB2" s="81"/>
      <c r="BC2" s="81"/>
      <c r="BD2" s="81"/>
      <c r="BE2" s="81"/>
      <c r="BF2" s="81"/>
      <c r="BG2" s="82"/>
      <c r="BI2" s="27"/>
      <c r="BJ2" s="27"/>
      <c r="BK2" s="28">
        <v>2555</v>
      </c>
      <c r="BM2" s="28"/>
      <c r="BN2" s="28"/>
      <c r="BO2" s="28">
        <v>0</v>
      </c>
      <c r="BP2" s="28"/>
      <c r="BQ2" s="28"/>
      <c r="BR2" s="28"/>
      <c r="BS2" s="28"/>
      <c r="BT2" s="86">
        <f>BG9+BD9</f>
        <v>0</v>
      </c>
      <c r="BU2" s="87"/>
      <c r="BV2" s="87"/>
      <c r="CC2" s="6"/>
      <c r="CD2" s="6"/>
      <c r="CE2" s="25"/>
      <c r="CF2" s="7"/>
      <c r="CG2" s="29"/>
      <c r="CH2" s="25"/>
      <c r="CI2" s="25"/>
      <c r="CJ2" s="25"/>
      <c r="CK2" s="25"/>
      <c r="CL2" s="25"/>
      <c r="CM2" s="30"/>
      <c r="CN2" s="30"/>
      <c r="CO2" s="25"/>
      <c r="CP2" s="21">
        <f>IF(CE2&lt;&gt;"",1,0)</f>
        <v>0</v>
      </c>
    </row>
    <row r="3" spans="1:104" x14ac:dyDescent="0.2">
      <c r="U3" s="21">
        <v>2</v>
      </c>
      <c r="V3" s="21">
        <v>40028524</v>
      </c>
      <c r="W3" s="21">
        <v>57</v>
      </c>
      <c r="X3" s="21">
        <v>6</v>
      </c>
      <c r="Y3" s="21">
        <v>6000</v>
      </c>
      <c r="Z3" s="21">
        <f t="shared" ref="Z3:Z25" si="0">IF(X3=4,0,Y3)</f>
        <v>6000</v>
      </c>
      <c r="AR3" s="26">
        <v>34</v>
      </c>
      <c r="AZ3" s="83"/>
      <c r="BA3" s="84"/>
      <c r="BB3" s="84"/>
      <c r="BC3" s="84"/>
      <c r="BD3" s="84"/>
      <c r="BE3" s="84"/>
      <c r="BF3" s="84"/>
      <c r="BG3" s="85"/>
      <c r="BI3" s="22">
        <v>30</v>
      </c>
      <c r="BJ3" s="22">
        <v>4</v>
      </c>
      <c r="BK3" s="22">
        <f>BK2-543</f>
        <v>2012</v>
      </c>
      <c r="BM3" s="28">
        <v>0</v>
      </c>
      <c r="BN3" s="28">
        <v>0</v>
      </c>
      <c r="BO3" s="28">
        <f>BO2-543</f>
        <v>-543</v>
      </c>
      <c r="BP3" s="28"/>
      <c r="BQ3" s="28"/>
      <c r="BR3" s="28"/>
      <c r="BS3" s="28"/>
      <c r="BT3" s="86">
        <f>BG10+BD10</f>
        <v>0</v>
      </c>
      <c r="BU3" s="87"/>
      <c r="BV3" s="87"/>
      <c r="CC3" s="8">
        <f>IF(AV15&lt;1500,500,ROUND(AV15,-3)-1000)</f>
        <v>500</v>
      </c>
      <c r="CD3" s="8">
        <f>IF(BK15=1,AV15,ROUND(AV15,-3))</f>
        <v>0</v>
      </c>
      <c r="CE3" s="25"/>
      <c r="CF3" s="25"/>
      <c r="CG3" s="29"/>
      <c r="CH3" s="25"/>
      <c r="CI3" s="25"/>
      <c r="CJ3" s="25"/>
      <c r="CK3" s="25"/>
      <c r="CL3" s="25"/>
      <c r="CM3" s="30"/>
      <c r="CN3" s="30"/>
      <c r="CO3" s="25"/>
      <c r="CP3" s="21">
        <f t="shared" ref="CP3:CP6" si="1">IF(CE3&lt;&gt;"",1,0)</f>
        <v>0</v>
      </c>
    </row>
    <row r="4" spans="1:104" x14ac:dyDescent="0.2">
      <c r="A4" s="1" t="s">
        <v>44</v>
      </c>
      <c r="U4" s="21">
        <v>3</v>
      </c>
      <c r="V4" s="21">
        <v>40028524</v>
      </c>
      <c r="W4" s="21">
        <v>58</v>
      </c>
      <c r="X4" s="21">
        <v>6</v>
      </c>
      <c r="Y4" s="21">
        <v>6000</v>
      </c>
      <c r="Z4" s="21">
        <f t="shared" si="0"/>
        <v>6000</v>
      </c>
      <c r="AR4" s="26">
        <v>808</v>
      </c>
      <c r="BH4" s="88">
        <f>(BI3&amp;"/"&amp;BJ3&amp;"/"&amp;BK3)+0</f>
        <v>41029</v>
      </c>
      <c r="BI4" s="88"/>
      <c r="BJ4" s="88"/>
      <c r="BK4" s="88"/>
      <c r="BL4" s="22">
        <v>3</v>
      </c>
      <c r="BN4" s="88" t="e">
        <f>(BM3&amp;"/"&amp;BN3&amp;"/"&amp;BO3)*1</f>
        <v>#VALUE!</v>
      </c>
      <c r="BO4" s="88"/>
      <c r="BP4" s="88"/>
      <c r="BQ4" s="88"/>
      <c r="BR4" s="88"/>
      <c r="BT4" s="86">
        <f>BG11+BD11</f>
        <v>0</v>
      </c>
      <c r="BU4" s="87"/>
      <c r="BV4" s="87"/>
      <c r="CC4" s="8">
        <f>IF(AV16&lt;1500,500,ROUND(AV16,-3)-1000)</f>
        <v>500</v>
      </c>
      <c r="CD4" s="8">
        <f>IF(BK16=1,AV16,ROUND(AV16,-3))</f>
        <v>0</v>
      </c>
      <c r="CE4" s="25"/>
      <c r="CF4" s="25"/>
      <c r="CG4" s="29"/>
      <c r="CH4" s="25"/>
      <c r="CI4" s="25"/>
      <c r="CJ4" s="25"/>
      <c r="CK4" s="25"/>
      <c r="CL4" s="25"/>
      <c r="CM4" s="30"/>
      <c r="CN4" s="30"/>
      <c r="CO4" s="25"/>
      <c r="CP4" s="21">
        <f t="shared" si="1"/>
        <v>0</v>
      </c>
    </row>
    <row r="5" spans="1:104" x14ac:dyDescent="0.2">
      <c r="A5" s="31">
        <v>2500</v>
      </c>
      <c r="B5" s="32"/>
      <c r="U5" s="21">
        <v>4</v>
      </c>
      <c r="V5" s="21">
        <v>40028524</v>
      </c>
      <c r="W5" s="21">
        <v>59</v>
      </c>
      <c r="X5" s="21">
        <v>6</v>
      </c>
      <c r="Y5" s="21">
        <v>6000</v>
      </c>
      <c r="Z5" s="21">
        <f t="shared" si="0"/>
        <v>6000</v>
      </c>
      <c r="AN5" s="22" t="str">
        <f>IF(CE2&lt;&gt;"",[1]master!C100,"")</f>
        <v/>
      </c>
      <c r="AO5" s="22" t="s">
        <v>45</v>
      </c>
      <c r="AR5" s="95" t="str">
        <f>IF(CE2&lt;&gt;"",AR2,"")</f>
        <v/>
      </c>
      <c r="AS5" s="88"/>
      <c r="AT5" s="88"/>
      <c r="AU5" s="88"/>
      <c r="AV5" s="88"/>
      <c r="AW5" s="88"/>
      <c r="AX5" s="88"/>
      <c r="AY5" s="88" t="s">
        <v>10</v>
      </c>
      <c r="AZ5" s="88"/>
      <c r="BA5" s="88" t="str">
        <f>IF(CE2="","",IF(AND(CE2&lt;&gt;"",AR3=0),"",AN5&amp;AR3))</f>
        <v/>
      </c>
      <c r="BB5" s="88"/>
      <c r="BC5" s="96" t="s">
        <v>46</v>
      </c>
      <c r="BD5" s="96"/>
      <c r="BE5" s="88" t="str">
        <f>IF(CE2="","",AN5&amp;AR4)</f>
        <v/>
      </c>
      <c r="BF5" s="88"/>
      <c r="BH5" s="94">
        <f>BH4</f>
        <v>41029</v>
      </c>
      <c r="BI5" s="94"/>
      <c r="BJ5" s="94"/>
      <c r="BK5" s="94"/>
      <c r="BL5" s="9">
        <f>BL4*12+1</f>
        <v>37</v>
      </c>
      <c r="BN5" s="94">
        <f>IFERROR(BN4,0)</f>
        <v>0</v>
      </c>
      <c r="BO5" s="94"/>
      <c r="BP5" s="94"/>
      <c r="BQ5" s="94"/>
      <c r="BR5" s="10"/>
      <c r="BT5" s="86">
        <f>BG12+BD12</f>
        <v>0</v>
      </c>
      <c r="BU5" s="87"/>
      <c r="BV5" s="87"/>
      <c r="CC5" s="8">
        <f>IF(AV17&lt;1500,500,ROUND(AV17,-3)-1000)</f>
        <v>500</v>
      </c>
      <c r="CD5" s="8">
        <f>IF(BK17=1,AV17,ROUND(AV17,-3))</f>
        <v>0</v>
      </c>
      <c r="CE5" s="25"/>
      <c r="CF5" s="25"/>
      <c r="CG5" s="29"/>
      <c r="CH5" s="25"/>
      <c r="CI5" s="25"/>
      <c r="CJ5" s="25"/>
      <c r="CK5" s="25"/>
      <c r="CL5" s="25"/>
      <c r="CM5" s="30"/>
      <c r="CN5" s="30"/>
      <c r="CO5" s="25"/>
      <c r="CP5" s="21">
        <f t="shared" si="1"/>
        <v>0</v>
      </c>
    </row>
    <row r="6" spans="1:104" x14ac:dyDescent="0.2">
      <c r="A6" s="11" t="s">
        <v>16</v>
      </c>
      <c r="B6" s="32"/>
      <c r="G6" s="21" t="s">
        <v>3</v>
      </c>
      <c r="H6" s="21" t="s">
        <v>0</v>
      </c>
      <c r="I6" s="21" t="s">
        <v>4</v>
      </c>
      <c r="J6" s="21" t="s">
        <v>5</v>
      </c>
      <c r="K6" s="1" t="s">
        <v>47</v>
      </c>
      <c r="L6" s="21" t="s">
        <v>9</v>
      </c>
      <c r="M6" s="21" t="s">
        <v>48</v>
      </c>
      <c r="N6" s="33" t="s">
        <v>49</v>
      </c>
      <c r="O6" s="33" t="s">
        <v>50</v>
      </c>
      <c r="P6" s="33" t="s">
        <v>17</v>
      </c>
      <c r="Q6" s="33" t="s">
        <v>51</v>
      </c>
      <c r="R6" s="33" t="s">
        <v>52</v>
      </c>
      <c r="U6" s="21">
        <v>5</v>
      </c>
      <c r="V6" s="21">
        <v>40028524</v>
      </c>
      <c r="W6" s="21">
        <v>60</v>
      </c>
      <c r="X6" s="21">
        <v>6</v>
      </c>
      <c r="Y6" s="21">
        <v>6000</v>
      </c>
      <c r="Z6" s="21">
        <f t="shared" si="0"/>
        <v>6000</v>
      </c>
      <c r="BN6" s="94">
        <f>IF(BN5=0,CC9,BN5)</f>
        <v>397</v>
      </c>
      <c r="BO6" s="94"/>
      <c r="BP6" s="94"/>
      <c r="BQ6" s="94"/>
      <c r="BR6" s="10"/>
      <c r="BT6" s="86">
        <f>BG13+BD13</f>
        <v>0</v>
      </c>
      <c r="BU6" s="87"/>
      <c r="BV6" s="87"/>
      <c r="CC6" s="8">
        <f>IF(AV18&lt;1500,500,ROUND(AV18,-3)-1000)</f>
        <v>500</v>
      </c>
      <c r="CD6" s="8">
        <f>IF(BK18=1,AV18,ROUND(AV18,-3))</f>
        <v>0</v>
      </c>
      <c r="CE6" s="25"/>
      <c r="CF6" s="25"/>
      <c r="CG6" s="29"/>
      <c r="CH6" s="25"/>
      <c r="CI6" s="25"/>
      <c r="CJ6" s="25"/>
      <c r="CK6" s="25"/>
      <c r="CL6" s="25"/>
      <c r="CM6" s="30"/>
      <c r="CN6" s="30"/>
      <c r="CO6" s="25"/>
      <c r="CP6" s="21">
        <f t="shared" si="1"/>
        <v>0</v>
      </c>
    </row>
    <row r="7" spans="1:104" x14ac:dyDescent="0.2">
      <c r="A7" s="32" t="str">
        <f>LEFT(J2,2)</f>
        <v>60</v>
      </c>
      <c r="B7" s="32">
        <f>RIGHT(J2,2)*1</f>
        <v>6</v>
      </c>
      <c r="D7" s="34"/>
      <c r="E7" s="34"/>
      <c r="G7" s="21">
        <v>40028524</v>
      </c>
      <c r="H7" s="21">
        <v>56</v>
      </c>
      <c r="I7" s="21">
        <v>5</v>
      </c>
      <c r="J7" s="21">
        <v>50000</v>
      </c>
      <c r="K7" s="21">
        <v>6</v>
      </c>
      <c r="L7" s="21">
        <v>808</v>
      </c>
      <c r="M7" s="21" t="s">
        <v>42</v>
      </c>
      <c r="N7" s="21" t="s">
        <v>53</v>
      </c>
      <c r="O7" s="21">
        <v>0</v>
      </c>
      <c r="P7" s="21">
        <v>0</v>
      </c>
      <c r="Q7" s="21">
        <v>60</v>
      </c>
      <c r="R7" s="21">
        <v>50000</v>
      </c>
      <c r="U7" s="21">
        <v>6</v>
      </c>
      <c r="V7" s="21">
        <v>40028524</v>
      </c>
      <c r="W7" s="21">
        <v>61</v>
      </c>
      <c r="X7" s="21">
        <v>6</v>
      </c>
      <c r="Y7" s="21">
        <v>14000</v>
      </c>
      <c r="Z7" s="21">
        <f t="shared" si="0"/>
        <v>14000</v>
      </c>
      <c r="CC7" s="8">
        <f>IF(AV19&lt;1500,500,ROUND(AV19,-3)-1000)</f>
        <v>500</v>
      </c>
      <c r="CD7" s="8">
        <f>IF(BK19=1,AV19,ROUND(AV19,-3))</f>
        <v>0</v>
      </c>
      <c r="CE7" s="25"/>
      <c r="CF7" s="25"/>
      <c r="CG7" s="29"/>
      <c r="CH7" s="25"/>
      <c r="CI7" s="25"/>
      <c r="CJ7" s="25"/>
      <c r="CK7" s="25"/>
      <c r="CL7" s="25"/>
      <c r="CM7" s="30"/>
      <c r="CN7" s="30"/>
      <c r="CO7" s="25"/>
      <c r="CP7" s="21">
        <f>SUM(CP2:CP6)</f>
        <v>0</v>
      </c>
    </row>
    <row r="8" spans="1:104" x14ac:dyDescent="0.2">
      <c r="A8" s="11" t="s">
        <v>54</v>
      </c>
      <c r="B8" s="32"/>
      <c r="U8" s="21">
        <v>7</v>
      </c>
      <c r="Z8" s="21">
        <f t="shared" si="0"/>
        <v>0</v>
      </c>
      <c r="AN8" s="87" t="s">
        <v>55</v>
      </c>
      <c r="AO8" s="87"/>
      <c r="AP8" s="87" t="s">
        <v>28</v>
      </c>
      <c r="AQ8" s="87"/>
      <c r="AR8" s="87"/>
      <c r="AS8" s="87"/>
      <c r="AT8" s="87"/>
      <c r="AU8" s="87"/>
      <c r="AV8" s="87" t="s">
        <v>29</v>
      </c>
      <c r="AW8" s="87"/>
      <c r="AX8" s="87"/>
      <c r="AY8" s="87" t="s">
        <v>56</v>
      </c>
      <c r="AZ8" s="87"/>
      <c r="BA8" s="87"/>
      <c r="BB8" s="87" t="s">
        <v>13</v>
      </c>
      <c r="BC8" s="87"/>
      <c r="BD8" s="87" t="s">
        <v>20</v>
      </c>
      <c r="BE8" s="87"/>
      <c r="BF8" s="87"/>
      <c r="BG8" s="87" t="s">
        <v>31</v>
      </c>
      <c r="BH8" s="87"/>
      <c r="BI8" s="87"/>
      <c r="BJ8" s="87" t="s">
        <v>24</v>
      </c>
      <c r="BK8" s="87"/>
      <c r="BL8" s="87" t="s">
        <v>32</v>
      </c>
      <c r="BM8" s="87"/>
      <c r="BN8" s="87"/>
      <c r="BO8" s="87" t="s">
        <v>54</v>
      </c>
      <c r="BP8" s="87"/>
      <c r="BQ8" s="87"/>
      <c r="BR8" s="87"/>
      <c r="BS8" s="87" t="s">
        <v>34</v>
      </c>
      <c r="BT8" s="87"/>
      <c r="BU8" s="87"/>
      <c r="CC8" s="6"/>
      <c r="CD8" s="6"/>
      <c r="CG8" s="35"/>
      <c r="CM8" s="34"/>
      <c r="CN8" s="34"/>
    </row>
    <row r="9" spans="1:104" x14ac:dyDescent="0.2">
      <c r="A9" s="32">
        <f>(A5+H7)-543</f>
        <v>2013</v>
      </c>
      <c r="B9" s="32"/>
      <c r="D9" s="21" t="s">
        <v>20</v>
      </c>
      <c r="E9" s="21" t="s">
        <v>11</v>
      </c>
      <c r="F9" s="21" t="s">
        <v>13</v>
      </c>
      <c r="U9" s="21">
        <v>8</v>
      </c>
      <c r="Z9" s="21">
        <f t="shared" si="0"/>
        <v>0</v>
      </c>
      <c r="AM9" s="12" t="e">
        <f>IF(AY15=AV15,BV9,IF(AY15&lt;&gt;AV15,BV9-1))</f>
        <v>#VALUE!</v>
      </c>
      <c r="AN9" s="87">
        <f>IF(AP9=0,0,1)</f>
        <v>0</v>
      </c>
      <c r="AO9" s="87"/>
      <c r="AP9" s="89">
        <f>CR1</f>
        <v>0</v>
      </c>
      <c r="AQ9" s="89"/>
      <c r="AR9" s="89"/>
      <c r="AS9" s="89"/>
      <c r="AT9" s="89"/>
      <c r="AU9" s="89"/>
      <c r="AV9" s="90">
        <f>CS1</f>
        <v>0</v>
      </c>
      <c r="AW9" s="91"/>
      <c r="AX9" s="92"/>
      <c r="AY9" s="93">
        <f>CT1</f>
        <v>0</v>
      </c>
      <c r="AZ9" s="93"/>
      <c r="BA9" s="93"/>
      <c r="BB9" s="87">
        <f>CU1</f>
        <v>0</v>
      </c>
      <c r="BC9" s="87"/>
      <c r="BD9" s="97">
        <f>CV1</f>
        <v>0</v>
      </c>
      <c r="BE9" s="97"/>
      <c r="BF9" s="97"/>
      <c r="BG9" s="97">
        <f>CW1</f>
        <v>0</v>
      </c>
      <c r="BH9" s="97"/>
      <c r="BI9" s="97"/>
      <c r="BJ9" s="98">
        <f>CX1</f>
        <v>0</v>
      </c>
      <c r="BK9" s="98"/>
      <c r="BL9" s="99">
        <f>CY1</f>
        <v>0</v>
      </c>
      <c r="BM9" s="99"/>
      <c r="BN9" s="99"/>
      <c r="BO9" s="99">
        <f>CZ1</f>
        <v>0</v>
      </c>
      <c r="BP9" s="99"/>
      <c r="BQ9" s="99"/>
      <c r="BR9" s="99"/>
      <c r="BS9" s="100"/>
      <c r="BT9" s="100"/>
      <c r="BU9" s="100"/>
      <c r="BV9" s="13" t="e">
        <f>DATEDIF(BO9,AR15,"Y")+1</f>
        <v>#VALUE!</v>
      </c>
      <c r="BW9" s="12">
        <f>IF(AP9=0,0,IF(BD9=BT2,1,IF(BD9=0,BV9,IF(BD9&lt;&gt;BT2,BV9+1))))</f>
        <v>0</v>
      </c>
      <c r="CC9" s="36">
        <f>DATE(YEAR(CD9)+1,MONTH(CD9)+1,)</f>
        <v>397</v>
      </c>
      <c r="CD9" s="36">
        <f>BO9</f>
        <v>0</v>
      </c>
      <c r="CG9" s="35"/>
      <c r="CM9" s="34"/>
      <c r="CN9" s="34"/>
    </row>
    <row r="10" spans="1:104" x14ac:dyDescent="0.2">
      <c r="A10" s="32">
        <f>IF(OR(K7=4,K7=5),9,K7)</f>
        <v>6</v>
      </c>
      <c r="B10" s="32"/>
      <c r="D10" s="21">
        <f>IF(I7=4,J7,0)</f>
        <v>0</v>
      </c>
      <c r="E10" s="21">
        <f>IF(OR(Q2="1ฝ",Q2="2ฝ"),Q2,E2*1)</f>
        <v>3</v>
      </c>
      <c r="F10" s="21">
        <f>G2*1</f>
        <v>2</v>
      </c>
      <c r="U10" s="21">
        <v>9</v>
      </c>
      <c r="Z10" s="21">
        <f t="shared" si="0"/>
        <v>0</v>
      </c>
      <c r="AM10" s="12" t="e">
        <f>IF(AY16=AV16,BV10,IF(AY16&lt;&gt;AV16,BV10-1))</f>
        <v>#VALUE!</v>
      </c>
      <c r="AN10" s="87">
        <f>IF(AP10=0,0,2)</f>
        <v>0</v>
      </c>
      <c r="AO10" s="87"/>
      <c r="AP10" s="89">
        <f t="shared" ref="AP10:AP13" si="2">CF3</f>
        <v>0</v>
      </c>
      <c r="AQ10" s="89"/>
      <c r="AR10" s="89"/>
      <c r="AS10" s="89"/>
      <c r="AT10" s="89"/>
      <c r="AU10" s="89"/>
      <c r="AV10" s="90">
        <f t="shared" ref="AV10:AV13" si="3">CG3</f>
        <v>0</v>
      </c>
      <c r="AW10" s="91"/>
      <c r="AX10" s="92"/>
      <c r="AY10" s="93">
        <f t="shared" ref="AY10:AY13" si="4">CH3</f>
        <v>0</v>
      </c>
      <c r="AZ10" s="93"/>
      <c r="BA10" s="93"/>
      <c r="BB10" s="87">
        <f t="shared" ref="BB10:BB13" si="5">CI3</f>
        <v>0</v>
      </c>
      <c r="BC10" s="87"/>
      <c r="BD10" s="97">
        <f t="shared" ref="BD10:BD13" si="6">CJ3</f>
        <v>0</v>
      </c>
      <c r="BE10" s="97"/>
      <c r="BF10" s="97"/>
      <c r="BG10" s="97">
        <f t="shared" ref="BG10:BG13" si="7">CK3</f>
        <v>0</v>
      </c>
      <c r="BH10" s="97"/>
      <c r="BI10" s="97"/>
      <c r="BJ10" s="98">
        <f t="shared" ref="BJ10:BJ13" si="8">CL3</f>
        <v>0</v>
      </c>
      <c r="BK10" s="98"/>
      <c r="BL10" s="99">
        <f t="shared" ref="BL10:BL13" si="9">CM3</f>
        <v>0</v>
      </c>
      <c r="BM10" s="99"/>
      <c r="BN10" s="99"/>
      <c r="BO10" s="99">
        <f t="shared" ref="BO10:BO13" si="10">CN3</f>
        <v>0</v>
      </c>
      <c r="BP10" s="99"/>
      <c r="BQ10" s="99"/>
      <c r="BR10" s="99"/>
      <c r="BS10" s="100"/>
      <c r="BT10" s="100"/>
      <c r="BU10" s="100"/>
      <c r="BV10" s="13" t="e">
        <f>DATEDIF(BO10,AR16,"Y")+1</f>
        <v>#VALUE!</v>
      </c>
      <c r="BW10" s="12">
        <f>IF(AP10=0,0,IF(BD10=BT3,1,IF(BD10=0,BV10,IF(BD10&lt;&gt;BT3,BV10+1))))</f>
        <v>0</v>
      </c>
      <c r="CC10" s="36">
        <f t="shared" ref="CC10:CC13" si="11">DATE(YEAR(CD10)+1,MONTH(CD10)+1,)</f>
        <v>397</v>
      </c>
      <c r="CD10" s="36">
        <f t="shared" ref="CD10:CD13" si="12">BO10</f>
        <v>0</v>
      </c>
      <c r="CG10" s="35"/>
      <c r="CM10" s="34"/>
      <c r="CN10" s="34"/>
    </row>
    <row r="11" spans="1:104" x14ac:dyDescent="0.2">
      <c r="A11" s="32">
        <f>(1&amp;"/"&amp;A10&amp;"/"&amp;A9)*1</f>
        <v>41426</v>
      </c>
      <c r="B11" s="32"/>
      <c r="D11" s="1" t="s">
        <v>14</v>
      </c>
      <c r="E11" s="21" t="str">
        <f>IF(E10="1ฝ","เพื่อปรับปรุงโครงสร้างหนี้ส่วนต้นเงิน",IF(E10="2ฝ","เพื่อปรับปรุงโครงสร้างหนี้ส่วนดอกเบี้ย",IF(OR(E10=1,E10=5,E10=10,E10=11),"เพื่อเป็นค่าใช้จ่าย",IF(OR(E10=2,E10=3,E10=4,E10=8,E10=12,E10=9),"เพื่อเป็นค่าลงทุน",IF(E10=6,"สัญญารับใช้หนี้","")))))</f>
        <v>เพื่อเป็นค่าลงทุน</v>
      </c>
      <c r="U11" s="21">
        <v>10</v>
      </c>
      <c r="Z11" s="21">
        <f t="shared" si="0"/>
        <v>0</v>
      </c>
      <c r="AM11" s="12" t="e">
        <f>IF(AY17=AV17,BV11,IF(AY17&lt;&gt;AV17,BV11-1))</f>
        <v>#VALUE!</v>
      </c>
      <c r="AN11" s="87">
        <f>IF(AP11=0,0,3)</f>
        <v>0</v>
      </c>
      <c r="AO11" s="87"/>
      <c r="AP11" s="89">
        <f t="shared" si="2"/>
        <v>0</v>
      </c>
      <c r="AQ11" s="89"/>
      <c r="AR11" s="89"/>
      <c r="AS11" s="89"/>
      <c r="AT11" s="89"/>
      <c r="AU11" s="89"/>
      <c r="AV11" s="90">
        <f t="shared" si="3"/>
        <v>0</v>
      </c>
      <c r="AW11" s="91"/>
      <c r="AX11" s="92"/>
      <c r="AY11" s="93">
        <f t="shared" si="4"/>
        <v>0</v>
      </c>
      <c r="AZ11" s="93"/>
      <c r="BA11" s="93"/>
      <c r="BB11" s="87">
        <f t="shared" si="5"/>
        <v>0</v>
      </c>
      <c r="BC11" s="87"/>
      <c r="BD11" s="97">
        <f t="shared" si="6"/>
        <v>0</v>
      </c>
      <c r="BE11" s="97"/>
      <c r="BF11" s="97"/>
      <c r="BG11" s="97">
        <f t="shared" si="7"/>
        <v>0</v>
      </c>
      <c r="BH11" s="97"/>
      <c r="BI11" s="97"/>
      <c r="BJ11" s="98">
        <f t="shared" si="8"/>
        <v>0</v>
      </c>
      <c r="BK11" s="98"/>
      <c r="BL11" s="99">
        <f t="shared" si="9"/>
        <v>0</v>
      </c>
      <c r="BM11" s="99"/>
      <c r="BN11" s="99"/>
      <c r="BO11" s="99">
        <f t="shared" si="10"/>
        <v>0</v>
      </c>
      <c r="BP11" s="99"/>
      <c r="BQ11" s="99"/>
      <c r="BR11" s="99"/>
      <c r="BS11" s="100"/>
      <c r="BT11" s="100"/>
      <c r="BU11" s="100"/>
      <c r="BV11" s="13" t="e">
        <f>DATEDIF(BO11,AR17,"Y")+1</f>
        <v>#VALUE!</v>
      </c>
      <c r="BW11" s="12">
        <f>IF(AP11=0,0,IF(BD11=BT4,1,IF(BD11=0,BV11,IF(BD11&lt;&gt;BT4,BV11+1))))</f>
        <v>0</v>
      </c>
      <c r="CC11" s="36">
        <f t="shared" si="11"/>
        <v>397</v>
      </c>
      <c r="CD11" s="36">
        <f t="shared" si="12"/>
        <v>0</v>
      </c>
      <c r="CG11" s="35"/>
      <c r="CM11" s="34"/>
      <c r="CN11" s="34"/>
    </row>
    <row r="12" spans="1:104" x14ac:dyDescent="0.2">
      <c r="A12" s="37">
        <f>DATE(YEAR(A11),MONTH(A11)+1,0)</f>
        <v>41455</v>
      </c>
      <c r="B12" s="32"/>
      <c r="D12" s="21">
        <f>H2</f>
        <v>50000</v>
      </c>
      <c r="F12" s="21" t="str">
        <f>IF(OR(F10=5,F10=3),"6(3)",IF(F10=4,"6(2,3)",IF(F10=2,"6(2)",IF(F10=1,"6(1)",""))))</f>
        <v>6(2)</v>
      </c>
      <c r="G12" s="21">
        <f>A2</f>
        <v>40028524</v>
      </c>
      <c r="H12" s="21">
        <f>W2</f>
        <v>56</v>
      </c>
      <c r="I12" s="21">
        <f>X2</f>
        <v>5</v>
      </c>
      <c r="J12" s="21">
        <f>T2</f>
        <v>50000</v>
      </c>
      <c r="K12" s="21">
        <f>AB1</f>
        <v>6</v>
      </c>
      <c r="L12" s="21">
        <f>C2</f>
        <v>808</v>
      </c>
      <c r="M12" s="21" t="s">
        <v>42</v>
      </c>
      <c r="N12" s="21" t="s">
        <v>53</v>
      </c>
      <c r="O12" s="21" t="str">
        <f>Q2</f>
        <v>00</v>
      </c>
      <c r="P12" s="21">
        <f>K2</f>
        <v>0</v>
      </c>
      <c r="Q12" s="21">
        <f>AC1</f>
        <v>61</v>
      </c>
      <c r="R12" s="21">
        <f>T2</f>
        <v>50000</v>
      </c>
      <c r="U12" s="21">
        <v>11</v>
      </c>
      <c r="Z12" s="21">
        <f t="shared" si="0"/>
        <v>0</v>
      </c>
      <c r="AM12" s="12" t="e">
        <f>IF(AY18=AV18,BV12,IF(AY18&lt;&gt;AV18,BV12-1))</f>
        <v>#VALUE!</v>
      </c>
      <c r="AN12" s="87">
        <f>IF(AP12=0,0,4)</f>
        <v>0</v>
      </c>
      <c r="AO12" s="87"/>
      <c r="AP12" s="89">
        <f t="shared" si="2"/>
        <v>0</v>
      </c>
      <c r="AQ12" s="89"/>
      <c r="AR12" s="89"/>
      <c r="AS12" s="89"/>
      <c r="AT12" s="89"/>
      <c r="AU12" s="89"/>
      <c r="AV12" s="90">
        <f t="shared" si="3"/>
        <v>0</v>
      </c>
      <c r="AW12" s="91"/>
      <c r="AX12" s="92"/>
      <c r="AY12" s="93">
        <f t="shared" si="4"/>
        <v>0</v>
      </c>
      <c r="AZ12" s="93"/>
      <c r="BA12" s="93"/>
      <c r="BB12" s="87">
        <f t="shared" si="5"/>
        <v>0</v>
      </c>
      <c r="BC12" s="87"/>
      <c r="BD12" s="97">
        <f t="shared" si="6"/>
        <v>0</v>
      </c>
      <c r="BE12" s="97"/>
      <c r="BF12" s="97"/>
      <c r="BG12" s="97">
        <f t="shared" si="7"/>
        <v>0</v>
      </c>
      <c r="BH12" s="97"/>
      <c r="BI12" s="97"/>
      <c r="BJ12" s="98">
        <f t="shared" si="8"/>
        <v>0</v>
      </c>
      <c r="BK12" s="98"/>
      <c r="BL12" s="99">
        <f t="shared" si="9"/>
        <v>0</v>
      </c>
      <c r="BM12" s="99"/>
      <c r="BN12" s="99"/>
      <c r="BO12" s="99">
        <f t="shared" si="10"/>
        <v>0</v>
      </c>
      <c r="BP12" s="99"/>
      <c r="BQ12" s="99"/>
      <c r="BR12" s="99"/>
      <c r="BS12" s="100"/>
      <c r="BT12" s="100"/>
      <c r="BU12" s="100"/>
      <c r="BV12" s="13" t="e">
        <f>DATEDIF(BO12,AR18,"Y")+1</f>
        <v>#VALUE!</v>
      </c>
      <c r="BW12" s="12">
        <f>IF(AP12=0,0,IF(BD12=BT5,1,IF(BD12=0,BV12,IF(BD12&lt;&gt;BT5,BV12+1))))</f>
        <v>0</v>
      </c>
      <c r="CC12" s="36">
        <f t="shared" si="11"/>
        <v>397</v>
      </c>
      <c r="CD12" s="36">
        <f t="shared" si="12"/>
        <v>0</v>
      </c>
      <c r="CG12" s="35"/>
      <c r="CM12" s="34"/>
      <c r="CN12" s="34"/>
    </row>
    <row r="13" spans="1:104" x14ac:dyDescent="0.2">
      <c r="A13" s="11" t="s">
        <v>57</v>
      </c>
      <c r="B13" s="32"/>
      <c r="D13" s="21" t="s">
        <v>58</v>
      </c>
      <c r="U13" s="21">
        <v>12</v>
      </c>
      <c r="Z13" s="21">
        <f t="shared" si="0"/>
        <v>0</v>
      </c>
      <c r="AM13" s="12" t="e">
        <f>IF(AY19=AV19,BV13,IF(AY19&lt;&gt;AV19,BV13-1))</f>
        <v>#VALUE!</v>
      </c>
      <c r="AN13" s="87">
        <f>IF(AP13=0,0,5)</f>
        <v>0</v>
      </c>
      <c r="AO13" s="87"/>
      <c r="AP13" s="89">
        <f t="shared" si="2"/>
        <v>0</v>
      </c>
      <c r="AQ13" s="89"/>
      <c r="AR13" s="89"/>
      <c r="AS13" s="89"/>
      <c r="AT13" s="89"/>
      <c r="AU13" s="89"/>
      <c r="AV13" s="90">
        <f t="shared" si="3"/>
        <v>0</v>
      </c>
      <c r="AW13" s="91"/>
      <c r="AX13" s="92"/>
      <c r="AY13" s="93">
        <f t="shared" si="4"/>
        <v>0</v>
      </c>
      <c r="AZ13" s="93"/>
      <c r="BA13" s="93"/>
      <c r="BB13" s="87">
        <f t="shared" si="5"/>
        <v>0</v>
      </c>
      <c r="BC13" s="87"/>
      <c r="BD13" s="97">
        <f t="shared" si="6"/>
        <v>0</v>
      </c>
      <c r="BE13" s="97"/>
      <c r="BF13" s="97"/>
      <c r="BG13" s="97">
        <f t="shared" si="7"/>
        <v>0</v>
      </c>
      <c r="BH13" s="97"/>
      <c r="BI13" s="97"/>
      <c r="BJ13" s="98">
        <f t="shared" si="8"/>
        <v>0</v>
      </c>
      <c r="BK13" s="98"/>
      <c r="BL13" s="99">
        <f t="shared" si="9"/>
        <v>0</v>
      </c>
      <c r="BM13" s="99"/>
      <c r="BN13" s="99"/>
      <c r="BO13" s="99">
        <f t="shared" si="10"/>
        <v>0</v>
      </c>
      <c r="BP13" s="99"/>
      <c r="BQ13" s="99"/>
      <c r="BR13" s="99"/>
      <c r="BS13" s="100"/>
      <c r="BT13" s="100"/>
      <c r="BU13" s="100"/>
      <c r="BV13" s="13" t="e">
        <f>DATEDIF(BO13,AR19,"Y")+1</f>
        <v>#VALUE!</v>
      </c>
      <c r="BW13" s="12">
        <f>IF(AP13=0,0,IF(BD13=BT6,1,IF(BD13=0,BV13,IF(BD13&lt;&gt;BT6,BV13+1))))</f>
        <v>0</v>
      </c>
      <c r="CC13" s="36">
        <f t="shared" si="11"/>
        <v>397</v>
      </c>
      <c r="CD13" s="36">
        <f t="shared" si="12"/>
        <v>0</v>
      </c>
      <c r="CG13" s="35"/>
      <c r="CM13" s="34"/>
      <c r="CN13" s="34"/>
    </row>
    <row r="14" spans="1:104" x14ac:dyDescent="0.2">
      <c r="A14" s="31">
        <v>2552</v>
      </c>
      <c r="B14" s="32"/>
      <c r="D14" s="1">
        <f>T2</f>
        <v>50000</v>
      </c>
      <c r="U14" s="21">
        <v>13</v>
      </c>
      <c r="Z14" s="21">
        <f t="shared" si="0"/>
        <v>0</v>
      </c>
      <c r="AR14" s="101"/>
      <c r="AS14" s="101"/>
      <c r="AT14" s="101"/>
      <c r="AU14" s="101"/>
      <c r="AY14" s="87" t="s">
        <v>59</v>
      </c>
      <c r="AZ14" s="87"/>
      <c r="BA14" s="87"/>
      <c r="BM14" s="102" t="s">
        <v>60</v>
      </c>
      <c r="BN14" s="102"/>
      <c r="BO14" s="102"/>
      <c r="BP14" s="102"/>
      <c r="CG14" s="35"/>
      <c r="CM14" s="34"/>
      <c r="CN14" s="34"/>
    </row>
    <row r="15" spans="1:104" x14ac:dyDescent="0.2">
      <c r="A15" s="32">
        <f>A14-543</f>
        <v>2009</v>
      </c>
      <c r="B15" s="32"/>
      <c r="D15" s="21" t="s">
        <v>18</v>
      </c>
      <c r="P15" s="21" t="str">
        <f>"สัญญานี้เริ่มกำหนดชำระงวดแรกปี "&amp;W2</f>
        <v>สัญญานี้เริ่มกำหนดชำระงวดแรกปี 56</v>
      </c>
      <c r="U15" s="21">
        <v>14</v>
      </c>
      <c r="Z15" s="21">
        <f t="shared" si="0"/>
        <v>0</v>
      </c>
      <c r="AM15" s="13" t="e">
        <f>IF(AP9="เพื่อเป็นค่าใช้จ่าย",1,IF(BD9&lt;&gt;0,BV9-1,IF(BD9=0,BV9)))</f>
        <v>#VALUE!</v>
      </c>
      <c r="AN15" s="38">
        <f>AN9</f>
        <v>0</v>
      </c>
      <c r="AO15" s="103" t="s">
        <v>61</v>
      </c>
      <c r="AP15" s="104"/>
      <c r="AQ15" s="105"/>
      <c r="AR15" s="99" t="str">
        <f>IF(AP9=0,"",IF(BS9&lt;&gt;0,BS9,IF(BQ15&gt;=BM15,BM15,IF(BQ15&lt;BM15,BQ15))))</f>
        <v/>
      </c>
      <c r="AS15" s="99"/>
      <c r="AT15" s="99"/>
      <c r="AU15" s="99"/>
      <c r="AV15" s="97">
        <f>IF(BG9=0,BD9,BG9/BV9)</f>
        <v>0</v>
      </c>
      <c r="AW15" s="97"/>
      <c r="AX15" s="97"/>
      <c r="AY15" s="97">
        <f>IF(AP9="เพื่อเป็นค่าใช้จ่าย",AV15,IF(CD3=AV15,CD3,CC3))</f>
        <v>0</v>
      </c>
      <c r="AZ15" s="97"/>
      <c r="BA15" s="97"/>
      <c r="BB15" s="106" t="s">
        <v>62</v>
      </c>
      <c r="BC15" s="107"/>
      <c r="BD15" s="108"/>
      <c r="BE15" s="109" t="str">
        <f>IF(AP9=0,"",IF(AP9&lt;&gt;0,BG9-(AY15*BV15)))</f>
        <v/>
      </c>
      <c r="BF15" s="87"/>
      <c r="BG15" s="87"/>
      <c r="BH15" s="110" t="s">
        <v>63</v>
      </c>
      <c r="BI15" s="111"/>
      <c r="BJ15" s="112"/>
      <c r="BK15" s="39" t="str">
        <f>IF(AP9=0,"",IF(BD9&lt;&gt;0,BV9+1,IF(BD9=0,BV9)))</f>
        <v/>
      </c>
      <c r="BL15" s="40" t="s">
        <v>64</v>
      </c>
      <c r="BM15" s="113" t="str">
        <f>IF(AP9=0,"",IF(AP9&lt;&gt;0,DATE(YEAR(AV9)+19,MONTH(BL9)+1,0)))</f>
        <v/>
      </c>
      <c r="BN15" s="113"/>
      <c r="BO15" s="113"/>
      <c r="BP15" s="113"/>
      <c r="BQ15" s="114">
        <f>IF(AP9="เพื่อเป็นค่าใช้จ่าย",DATE(YEAR(BO9),MONTH(BO9)+1,0),IF(AP9&lt;&gt;"เพื่อเป็นค่าใช้จ่าย",DATE(YEAR(BL9),MONTH(BL9)+BL5,0)))</f>
        <v>1127</v>
      </c>
      <c r="BR15" s="114"/>
      <c r="BS15" s="114"/>
      <c r="BT15" s="114"/>
      <c r="BU15" s="114"/>
      <c r="BV15" s="22" t="e">
        <f>IF(AY15=AV15,BV9,IF(AY15&lt;&gt;AV15,BV9-1))</f>
        <v>#VALUE!</v>
      </c>
      <c r="CG15" s="35"/>
      <c r="CM15" s="34"/>
      <c r="CN15" s="34"/>
    </row>
    <row r="16" spans="1:104" x14ac:dyDescent="0.2">
      <c r="A16" s="37">
        <f>(1&amp;"/"&amp;A10&amp;"/"&amp;A15)*1</f>
        <v>39965</v>
      </c>
      <c r="B16" s="32"/>
      <c r="D16" s="21">
        <f>Z26</f>
        <v>50000</v>
      </c>
      <c r="U16" s="21">
        <v>15</v>
      </c>
      <c r="Z16" s="21">
        <f t="shared" si="0"/>
        <v>0</v>
      </c>
      <c r="AM16" s="13" t="e">
        <f>IF(AP10="เพื่อเป็นค่าใช้จ่าย",1,IF(BD10&lt;&gt;0,BV10-1,IF(BD10=0,BV10)))</f>
        <v>#VALUE!</v>
      </c>
      <c r="AN16" s="38">
        <f>AN10</f>
        <v>0</v>
      </c>
      <c r="AO16" s="103" t="s">
        <v>61</v>
      </c>
      <c r="AP16" s="104"/>
      <c r="AQ16" s="105"/>
      <c r="AR16" s="113" t="str">
        <f>IF(AP10=0,"",IF(BS10&lt;&gt;0,BS10,IF(BQ16&gt;=BM16,BM16,IF(BQ16&lt;BM16,BQ16))))</f>
        <v/>
      </c>
      <c r="AS16" s="113"/>
      <c r="AT16" s="113"/>
      <c r="AU16" s="113"/>
      <c r="AV16" s="97">
        <f>IF(BG10=0,BD10,BG10/BV10)</f>
        <v>0</v>
      </c>
      <c r="AW16" s="97"/>
      <c r="AX16" s="97"/>
      <c r="AY16" s="97">
        <f>IF(AP10="เพื่อเป็นค่าใช้จ่าย",AV16,IF(CD4=AV16,CD4,CC4))</f>
        <v>0</v>
      </c>
      <c r="AZ16" s="97"/>
      <c r="BA16" s="97"/>
      <c r="BB16" s="106" t="s">
        <v>62</v>
      </c>
      <c r="BC16" s="107"/>
      <c r="BD16" s="108"/>
      <c r="BE16" s="109" t="str">
        <f>IF(AP10=0,"",IF(AP10&lt;&gt;0,BG10-(AY16*BV16)))</f>
        <v/>
      </c>
      <c r="BF16" s="87"/>
      <c r="BG16" s="87"/>
      <c r="BH16" s="110" t="s">
        <v>63</v>
      </c>
      <c r="BI16" s="111"/>
      <c r="BJ16" s="112"/>
      <c r="BK16" s="39" t="str">
        <f>IF(AP10=0,"",IF(BD10&lt;&gt;0,BV10+1,IF(BD10=0,BV10)))</f>
        <v/>
      </c>
      <c r="BL16" s="40" t="s">
        <v>64</v>
      </c>
      <c r="BM16" s="113" t="str">
        <f>IF(AP10=0,"",IF(AP10&lt;&gt;0,DATE(YEAR(AV10)+19,MONTH(BL10)+1,0)))</f>
        <v/>
      </c>
      <c r="BN16" s="113"/>
      <c r="BO16" s="113"/>
      <c r="BP16" s="113"/>
      <c r="BQ16" s="114">
        <f>IF(AP10="เพื่อเป็นค่าใช้จ่าย",DATE(YEAR(BO10),MONTH(BO10)+1,0),IF(AP10&lt;&gt;"เพื่อเป็นค่าใช้จ่าย",DATE(YEAR(BL10),MONTH(BL10)+BL5,0)))</f>
        <v>1127</v>
      </c>
      <c r="BR16" s="114"/>
      <c r="BS16" s="114"/>
      <c r="BT16" s="114"/>
      <c r="BU16" s="114"/>
      <c r="BV16" s="22" t="e">
        <f>IF(AY16=AV16,BV10,IF(AY16&lt;&gt;AV16,BV10-1))</f>
        <v>#VALUE!</v>
      </c>
      <c r="CG16" s="35"/>
      <c r="CM16" s="34"/>
      <c r="CN16" s="34"/>
    </row>
    <row r="17" spans="1:92" x14ac:dyDescent="0.2">
      <c r="A17" s="37">
        <f>DATE(YEAR(A16),MONTH(A16)+1,0)</f>
        <v>39994</v>
      </c>
      <c r="B17" s="32"/>
      <c r="D17" s="1" t="s">
        <v>65</v>
      </c>
      <c r="U17" s="21">
        <v>16</v>
      </c>
      <c r="Z17" s="21">
        <f t="shared" si="0"/>
        <v>0</v>
      </c>
      <c r="AM17" s="13" t="e">
        <f>IF(AP11="เพื่อเป็นค่าใช้จ่าย",1,IF(BD11&lt;&gt;0,BV11-1,IF(BD11=0,BV11)))</f>
        <v>#VALUE!</v>
      </c>
      <c r="AN17" s="38">
        <f>AN11</f>
        <v>0</v>
      </c>
      <c r="AO17" s="103" t="s">
        <v>61</v>
      </c>
      <c r="AP17" s="104"/>
      <c r="AQ17" s="105"/>
      <c r="AR17" s="113" t="str">
        <f>IF(AP11=0,"",IF(BS11&lt;&gt;0,BS11,IF(BQ17&gt;=BM17,BM17,IF(BQ17&lt;BM17,BQ17))))</f>
        <v/>
      </c>
      <c r="AS17" s="113"/>
      <c r="AT17" s="113"/>
      <c r="AU17" s="113"/>
      <c r="AV17" s="97">
        <f>IF(BG11=0,BD11,BG11/BV11)</f>
        <v>0</v>
      </c>
      <c r="AW17" s="97"/>
      <c r="AX17" s="97"/>
      <c r="AY17" s="97">
        <f>IF(AP11="เพื่อเป็นค่าใช้จ่าย",AV17,IF(CD5=AV17,CD5,CC5))</f>
        <v>0</v>
      </c>
      <c r="AZ17" s="97"/>
      <c r="BA17" s="97"/>
      <c r="BB17" s="106" t="s">
        <v>62</v>
      </c>
      <c r="BC17" s="107"/>
      <c r="BD17" s="108"/>
      <c r="BE17" s="109" t="str">
        <f>IF(AP11=0,"",IF(AP11&lt;&gt;0,BG11-(AY17*BV17)))</f>
        <v/>
      </c>
      <c r="BF17" s="87"/>
      <c r="BG17" s="87"/>
      <c r="BH17" s="110" t="s">
        <v>63</v>
      </c>
      <c r="BI17" s="111"/>
      <c r="BJ17" s="112"/>
      <c r="BK17" s="39" t="str">
        <f>IF(AP11=0,"",IF(BD11&lt;&gt;0,BV11+1,IF(BD11=0,BV11)))</f>
        <v/>
      </c>
      <c r="BL17" s="40" t="s">
        <v>64</v>
      </c>
      <c r="BM17" s="113" t="str">
        <f>IF(AP11=0,"",IF(AP11&lt;&gt;0,DATE(YEAR(AV11)+19,MONTH(BL11)+1,0)))</f>
        <v/>
      </c>
      <c r="BN17" s="113"/>
      <c r="BO17" s="113"/>
      <c r="BP17" s="113"/>
      <c r="BQ17" s="114">
        <f>IF(AP11="เพื่อเป็นค่าใช้จ่าย",DATE(YEAR(BO11),MONTH(BO11)+1,0),IF(AP11&lt;&gt;"เพื่อเป็นค่าใช้จ่าย",DATE(YEAR(BL11),MONTH(BL11)+BL5,0)))</f>
        <v>1127</v>
      </c>
      <c r="BR17" s="114"/>
      <c r="BS17" s="114"/>
      <c r="BT17" s="114"/>
      <c r="BU17" s="114"/>
      <c r="BV17" s="22" t="e">
        <f>IF(AY17=AV17,BV11,IF(AY17&lt;&gt;AV17,BV11-1))</f>
        <v>#VALUE!</v>
      </c>
      <c r="CG17" s="35"/>
      <c r="CM17" s="34"/>
      <c r="CN17" s="34"/>
    </row>
    <row r="18" spans="1:92" x14ac:dyDescent="0.2">
      <c r="A18" s="11" t="s">
        <v>16</v>
      </c>
      <c r="B18" s="32">
        <f>IF(OR(B7=4,B7=5),9,B7)</f>
        <v>6</v>
      </c>
      <c r="D18" s="21">
        <f>D14-D16</f>
        <v>0</v>
      </c>
      <c r="E18" s="21">
        <f>IF(D18&lt;0,0,D18)</f>
        <v>0</v>
      </c>
      <c r="U18" s="21">
        <v>17</v>
      </c>
      <c r="Z18" s="21">
        <f t="shared" si="0"/>
        <v>0</v>
      </c>
      <c r="AM18" s="13" t="e">
        <f>IF(AP12="เพื่อเป็นค่าใช้จ่าย",1,IF(BD12&lt;&gt;0,BV12-1,IF(BD12=0,BV12)))</f>
        <v>#VALUE!</v>
      </c>
      <c r="AN18" s="38">
        <f>AN12</f>
        <v>0</v>
      </c>
      <c r="AO18" s="103" t="s">
        <v>61</v>
      </c>
      <c r="AP18" s="104"/>
      <c r="AQ18" s="105"/>
      <c r="AR18" s="113" t="str">
        <f>IF(AP12=0,"",IF(BS12&lt;&gt;0,BS12,IF(BQ18&gt;=BM18,BM18,IF(BQ18&lt;BM18,BQ18))))</f>
        <v/>
      </c>
      <c r="AS18" s="113"/>
      <c r="AT18" s="113"/>
      <c r="AU18" s="113"/>
      <c r="AV18" s="97">
        <f>IF(BG12=0,BD12,BG12/BV12)</f>
        <v>0</v>
      </c>
      <c r="AW18" s="97"/>
      <c r="AX18" s="97"/>
      <c r="AY18" s="97">
        <f>IF(AP12="เพื่อเป็นค่าใช้จ่าย",AV18,IF(CD6=AV18,CD6,CC6))</f>
        <v>0</v>
      </c>
      <c r="AZ18" s="97"/>
      <c r="BA18" s="97"/>
      <c r="BB18" s="106" t="s">
        <v>62</v>
      </c>
      <c r="BC18" s="107"/>
      <c r="BD18" s="108"/>
      <c r="BE18" s="109" t="str">
        <f>IF(AP12=0,"",IF(AP12&lt;&gt;0,BG12-(AY18*BV18)))</f>
        <v/>
      </c>
      <c r="BF18" s="87"/>
      <c r="BG18" s="87"/>
      <c r="BH18" s="110" t="s">
        <v>63</v>
      </c>
      <c r="BI18" s="111"/>
      <c r="BJ18" s="112"/>
      <c r="BK18" s="39" t="str">
        <f>IF(AP12=0,"",IF(BD12&lt;&gt;0,BV12+1,IF(BD12=0,BV12)))</f>
        <v/>
      </c>
      <c r="BL18" s="40" t="s">
        <v>64</v>
      </c>
      <c r="BM18" s="113" t="str">
        <f>IF(AP12=0,"",IF(AP12&lt;&gt;0,DATE(YEAR(AV12)+19,MONTH(BL12)+1,0)))</f>
        <v/>
      </c>
      <c r="BN18" s="113"/>
      <c r="BO18" s="113"/>
      <c r="BP18" s="113"/>
      <c r="BQ18" s="114">
        <f>IF(AP12="เพื่อเป็นค่าใช้จ่าย",DATE(YEAR(BO12),MONTH(BO12)+1,0),IF(AP12&lt;&gt;"เพื่อเป็นค่าใช้จ่าย",DATE(YEAR(BL12),MONTH(BL12)+BL5,0)))</f>
        <v>1127</v>
      </c>
      <c r="BR18" s="114"/>
      <c r="BS18" s="114"/>
      <c r="BT18" s="114"/>
      <c r="BU18" s="114"/>
      <c r="BV18" s="22" t="e">
        <f>IF(AY18=AV18,BV12,IF(AY18&lt;&gt;AV18,BV12-1))</f>
        <v>#VALUE!</v>
      </c>
      <c r="CG18" s="35"/>
      <c r="CM18" s="34"/>
      <c r="CN18" s="34"/>
    </row>
    <row r="19" spans="1:92" x14ac:dyDescent="0.2">
      <c r="A19" s="32">
        <f>(A5+A7)-543</f>
        <v>2017</v>
      </c>
      <c r="B19" s="32"/>
      <c r="D19" s="21">
        <f>COUNTA(V2:V25)</f>
        <v>6</v>
      </c>
      <c r="U19" s="21">
        <v>18</v>
      </c>
      <c r="Z19" s="21">
        <f t="shared" si="0"/>
        <v>0</v>
      </c>
      <c r="AM19" s="13" t="e">
        <f>IF(AP13="เพื่อเป็นค่าใช้จ่าย",1,IF(BD13&lt;&gt;0,BV13-1,IF(BD13=0,BV13)))</f>
        <v>#VALUE!</v>
      </c>
      <c r="AN19" s="38">
        <f>AN13</f>
        <v>0</v>
      </c>
      <c r="AO19" s="103" t="s">
        <v>61</v>
      </c>
      <c r="AP19" s="104"/>
      <c r="AQ19" s="105"/>
      <c r="AR19" s="113" t="str">
        <f>IF(AP13=0,"",IF(BS13&lt;&gt;0,BS13,IF(BQ19&gt;=BM19,BM19,IF(BQ19&lt;BM19,BQ19))))</f>
        <v/>
      </c>
      <c r="AS19" s="113"/>
      <c r="AT19" s="113"/>
      <c r="AU19" s="113"/>
      <c r="AV19" s="97">
        <f>IF(BG13=0,BD13,BG13/BV13)</f>
        <v>0</v>
      </c>
      <c r="AW19" s="97"/>
      <c r="AX19" s="97"/>
      <c r="AY19" s="97">
        <f>IF(AP13="เพื่อเป็นค่าใช้จ่าย",AV19,IF(CD7=AV19,CD7,CC7))</f>
        <v>0</v>
      </c>
      <c r="AZ19" s="97"/>
      <c r="BA19" s="97"/>
      <c r="BB19" s="106" t="s">
        <v>62</v>
      </c>
      <c r="BC19" s="107"/>
      <c r="BD19" s="108"/>
      <c r="BE19" s="109" t="str">
        <f>IF(AP13=0,"",IF(AP13&lt;&gt;0,BG13-(AY19*BV19)))</f>
        <v/>
      </c>
      <c r="BF19" s="87"/>
      <c r="BG19" s="87"/>
      <c r="BH19" s="110" t="s">
        <v>63</v>
      </c>
      <c r="BI19" s="111"/>
      <c r="BJ19" s="112"/>
      <c r="BK19" s="39" t="str">
        <f>IF(AP13=0,"",IF(BD13&lt;&gt;0,BV13+1,IF(BD13=0,BV13)))</f>
        <v/>
      </c>
      <c r="BL19" s="40" t="s">
        <v>64</v>
      </c>
      <c r="BM19" s="113" t="str">
        <f>IF(AP13=0,"",IF(AP13&lt;&gt;0,DATE(YEAR(AV13)+19,MONTH(BL13)+1,0)))</f>
        <v/>
      </c>
      <c r="BN19" s="113"/>
      <c r="BO19" s="113"/>
      <c r="BP19" s="113"/>
      <c r="BQ19" s="114">
        <f>IF(AP13="เพื่อเป็นค่าใช้จ่าย",DATE(YEAR(BO13),MONTH(BO13)+1,0),IF(AP13&lt;&gt;"เพื่อเป็นค่าใช้จ่าย",DATE(YEAR(BL13),MONTH(BL13)+BL5,0)))</f>
        <v>1127</v>
      </c>
      <c r="BR19" s="114"/>
      <c r="BS19" s="114"/>
      <c r="BT19" s="114"/>
      <c r="BU19" s="114"/>
      <c r="BV19" s="22" t="e">
        <f>IF(AY19=AV19,BV13,IF(AY19&lt;&gt;AV19,BV13-1))</f>
        <v>#VALUE!</v>
      </c>
      <c r="CG19" s="35"/>
      <c r="CM19" s="34"/>
      <c r="CN19" s="34"/>
    </row>
    <row r="20" spans="1:92" x14ac:dyDescent="0.2">
      <c r="A20" s="32">
        <f>(1&amp;"/"&amp;B18&amp;"/"&amp;A19)*1</f>
        <v>42887</v>
      </c>
      <c r="B20" s="32"/>
      <c r="D20" s="1">
        <f>IF(X2=4,Y2,IF(AND(X2=5,X3=""),Y2,IF(AND(X2=5,X3&lt;&gt;""),Y3,Y2)))</f>
        <v>6000</v>
      </c>
      <c r="E20" s="21">
        <f>IF(E11="เพื่อเป็นค่าใช้จ่าย",D14,IF(AND(D19=1,X2=4,D18&lt;&gt;0),D18,IF(AND(D19=1,X2&lt;&gt;4),T2,IF(AND(D19=2,Y3&lt;=D14),Y3,IF(AND(D19=2,E18=0,Y3&gt;D14),D14,IF(AND(D19=2,Y2&gt;D14),Y3,IF(D19&gt;2,Y4)))))))</f>
        <v>6000</v>
      </c>
      <c r="U20" s="21">
        <v>19</v>
      </c>
      <c r="Z20" s="21">
        <f t="shared" si="0"/>
        <v>0</v>
      </c>
      <c r="CG20" s="35"/>
      <c r="CM20" s="34"/>
      <c r="CN20" s="34"/>
    </row>
    <row r="21" spans="1:92" x14ac:dyDescent="0.2">
      <c r="A21" s="37">
        <f>DATE(YEAR(A20),MONTH(A20)+1,0)</f>
        <v>42916</v>
      </c>
      <c r="B21" s="32"/>
      <c r="U21" s="21">
        <v>20</v>
      </c>
      <c r="Z21" s="21">
        <f t="shared" si="0"/>
        <v>0</v>
      </c>
      <c r="AM21" s="9"/>
      <c r="AN21" s="14"/>
      <c r="AS21" s="115"/>
      <c r="AT21" s="115"/>
      <c r="AU21" s="115"/>
      <c r="AV21" s="41"/>
      <c r="CG21" s="35"/>
      <c r="CM21" s="34"/>
      <c r="CN21" s="34"/>
    </row>
    <row r="22" spans="1:92" x14ac:dyDescent="0.2">
      <c r="A22" s="32"/>
      <c r="B22" s="32"/>
      <c r="U22" s="21">
        <v>21</v>
      </c>
      <c r="Z22" s="21">
        <f t="shared" si="0"/>
        <v>0</v>
      </c>
      <c r="AM22" s="9"/>
      <c r="AN22" s="14"/>
      <c r="AY22" s="42">
        <f>IF(AP9=0,0,IF(AP9="เพื่อปรับปรุงโครงสร้างหนี้ส่วนดอกเบี้ย","ชำระตามงวดสัญญาเดิม",IF(AP9="เพื่อเป็นค่าใช้จ่าย","งวดที่1",IF(BD9&lt;&gt;0,"งวดที่1",IF(AV15=BG9,"งวดที่1",IF(AY15+BE15=BG9,"งวดที่1",IF(AY15+AV15=BG9,"งวดที่1ถึงงวดที่",IF(AV15&lt;&gt;BG9,"งวดที่1 ถึงงวดที่"))))))))</f>
        <v>0</v>
      </c>
      <c r="AZ22" s="15" t="str">
        <f>IF(AP9=0,"",IF(AP9="เพื่อปรับปรุงโครงสร้างหนี้ส่วนดอกเบี้ย","",IF(BV15=1,"",IF(AP9="เพื่อเป็นค่าใช้จ่าย","",IF(BD9&lt;&gt;0,"",IF(AY15=AV15,BV15,IF(AY15+BE15=BG9,0,IF(AY15+BE15&lt;&gt;BG9,BV15))))))))</f>
        <v/>
      </c>
      <c r="BA22" s="42" t="str">
        <f>IF(AP9=0,"",IF(AP9="เพื่อปรับปรุงโครงสร้างหนี้ส่วนดอกเบี้ย","",IF(AP9&lt;&gt;"เพื่อปรับปรุงโครงสร้างหนี้ส่วนดอกเบี้ย","วันที่")))</f>
        <v/>
      </c>
      <c r="BB22" s="116" t="str">
        <f>IF(AP9=0,"",IF(AP9="เพื่อปรับปรุงโครงสร้างหนี้ส่วนดอกเบี้ย","",IF(AND(BD9=0,AP9="เพื่อเป็นค่าใช้จ่าย"),BN6,IF(BD9&lt;&gt;0,BH5,IF(BD9=0,BO9)))))</f>
        <v/>
      </c>
      <c r="BC22" s="116"/>
      <c r="BD22" s="116"/>
      <c r="BE22" s="16" t="str">
        <f>IF(AP9=0,"",IF(AP9="เพื่อปรับปรุงโครงสร้างหนี้ส่วนดอกเบี้ย","",IF(BD9&lt;&gt;0,"ชำระ",IF(AP9="เพื่อเป็นค่าใช้จ่าย","ชำระ",IF(AY22="งวดที่1ถึงงวดที่ 2","ถึงวันที่",IF(AZ22=0,"ชำระ",IF(AZ22&lt;&gt;0,"ถึงวันที่")))))))</f>
        <v/>
      </c>
      <c r="BF22" s="117" t="str">
        <f>IF(AP9=0,"",IF(AP9="เพื่อปรับปรุงโครงสร้างหนี้ส่วนดอกเบี้ย","",IF(AP9="เพื่อเป็นค่าใช้จ่าย","ต้นเงินจำนวน",IF(BD9&lt;&gt;0,"ต้นเงินจำนวน",IF(AZ22=0,"ต้นเงินจำนวน",IF(AZ22&lt;&gt;BV9,DATE(YEAR(AR15)-1,MONTH(AR15)+1,0),DATE(YEAR(AR15),MONTH(AR15)+1,0)))))))</f>
        <v/>
      </c>
      <c r="BG22" s="117"/>
      <c r="BH22" s="117"/>
      <c r="BI22" s="118" t="str">
        <f>IF(AP9=0,"",IF(AP9="เพื่อปรับปรุงโครงสร้างหนี้ส่วนดอกเบี้ย","",IF(BD9&lt;&gt;0,BD9,IF(AP9="เพื่อเป็นค่าใช้จ่าย",BG9,IF(BF22="ต้นเงินจำนวน",AY15,IF(AP9&lt;&gt;"เพื่อเป็นค่าใช้จ่าย","ชำระต้นเงินจำนวนงวดละ"))))))</f>
        <v/>
      </c>
      <c r="BJ22" s="118"/>
      <c r="BK22" s="118"/>
      <c r="BL22" s="119" t="str">
        <f>IF(AP9=0,"",IF(AP9="เพื่อปรับปรุงโครงสร้างหนี้ส่วนดอกเบี้ย","",IF(BI22&lt;&gt;"ชำระต้นเงินจำนวนงวดละ","บาท",IF(BI22="ชำระต้นเงินจำนวนงวดละ",AY15))))</f>
        <v/>
      </c>
      <c r="BM22" s="120"/>
      <c r="BN22" s="17" t="str">
        <f>IF(AP9=0,"",IF(AP9="เพื่อปรับปรุงโครงสร้างหนี้ส่วนดอกเบี้ย","",IF(BL22="บาท","",IF(BL22&lt;&gt;"บาท","บาท"))))</f>
        <v/>
      </c>
      <c r="BO22" s="43" t="str">
        <f>IF(AP9=0,"",IF(BM22&lt;&gt;0,"บาท",IF(BM22=0,"")))</f>
        <v/>
      </c>
      <c r="CG22" s="35"/>
      <c r="CM22" s="34"/>
      <c r="CN22" s="34"/>
    </row>
    <row r="23" spans="1:92" x14ac:dyDescent="0.2">
      <c r="A23" s="21" t="s">
        <v>66</v>
      </c>
      <c r="U23" s="21">
        <v>22</v>
      </c>
      <c r="Z23" s="21">
        <f t="shared" si="0"/>
        <v>0</v>
      </c>
      <c r="AD23" s="1"/>
      <c r="AM23" s="9"/>
      <c r="AN23" s="14"/>
      <c r="AU23" s="44" t="str">
        <f>IF(AP9=0,"",IF(AP9="เพื่อปรับปรุงโครงสร้างหนี้ส่วนดอกเบี้ย","",IF(AV15=BT2,"",IF(BV15=1,"และงวดที่",IF(BD9&lt;&gt;0,"งวดที่ 2ถึงงวดที่",IF(BE15=0,"โดยชำระภายใน","และงวดที่"))))))</f>
        <v/>
      </c>
      <c r="AV23" s="45" t="str">
        <f>IF(AP9=0,"",IF(BD9=BT2,"",IF(AU23="","",IF(AU23="โดยชำระภายใน",0,IF(BE15=0,BW9,IF(BE15&lt;&gt;0,BV9))))))</f>
        <v/>
      </c>
      <c r="AW23" s="44" t="str">
        <f>IF(AP9=0,"",IF(BD9=BT2,"",IF(AV23="","","วันที่")))</f>
        <v/>
      </c>
      <c r="AX23" s="121" t="str">
        <f>IF(AP9=0,"",IF(BD9=BT2,"",IF(AW23="","",IF(BD9=0,BB22,IF(BD9&lt;&gt;0,BO9)))))</f>
        <v/>
      </c>
      <c r="AY23" s="121"/>
      <c r="AZ23" s="121"/>
      <c r="BA23" s="46" t="str">
        <f>IF(AP9=0,"",IF(BD9=BT2,"",IF(AX23="","",IF(AND(BD9&lt;&gt;0,AP9="เพื่อเป็นค่าใช้จ่าย"),BN6,IF(BD9&lt;&gt;0,BO9,IF(AZ22=BV9,"ของ",IF(AZ22&lt;&gt;BV9,AR15)))))))</f>
        <v/>
      </c>
      <c r="BB23" s="44" t="str">
        <f>IF(AP9=0,"",IF(BD9=BT2,"",IF(BA23="","",IF(BV15=1,"ชำระ",IF(BD9&lt;&gt;0,"ถึงวันที่",IF(AY15=AV15,"ทุกปี",IF(AY15&lt;&gt;AV15,"ชำระ")))))))</f>
        <v/>
      </c>
      <c r="BC23" s="122" t="str">
        <f>IF(AP9="เพื่อปรับปรุงโครงสร้างหนี้ส่วนดอกเบี้ย","",IF(BD9=BT2,"",IF(BA23="ของ","",IF(BB23="ชำระ","ต้นเงินจำนวน",IF(BI22=BT2,"",IF(AV23&lt;&gt;BW9,DATE(YEAR(AR15)-1,MONTH(AR15)+1,0),IF(AV23=BW9,DATE(YEAR(AR15),MONTH(AR15)+1,0))))))))</f>
        <v/>
      </c>
      <c r="BD23" s="122"/>
      <c r="BE23" s="122"/>
      <c r="BF23" s="123" t="str">
        <f>IF(AP9=0,"",IF(BD9=BT2,"",IF(BC23="","",IF(AY15=BG9,BG9,IF(BC23=BE15,AY15,IF(BB23="ทุกปี",0,IF(BC23="ต้นเงินจำนวน",BE15,IF(BC23&lt;&gt;"ต้นเงินจำนวน","ชำระต้นเงิน"))))))))</f>
        <v/>
      </c>
      <c r="BG23" s="123"/>
      <c r="BH23" s="124" t="str">
        <f>IF(AP9=0,"",IF(AP9="เพื่อปรับปรุงโครงสร้างหนี้ส่วนดอกเบี้ย","",IF(BF23="","",IF(BD9=BT2,"",IF(BB23="ทุกปี",0,IF(BF23=0,0,IF(BF23="ชำระต้นเงิน","จำนวนงวดละ",IF(BF23&lt;&gt;"ชำระต้นเงิน","บาท"))))))))</f>
        <v/>
      </c>
      <c r="BI23" s="124"/>
      <c r="BJ23" s="124"/>
      <c r="BK23" s="47" t="str">
        <f>IF(AP9=0,"",IF(AP9="เพื่อปรับปรุงโครงสร้างหนี้ส่วนดอกเบี้ย","",IF(BH23="","",IF(BD9=BT2,"",IF(BH23=0,0,IF(BH23="บาท","",IF(BH23&lt;&gt;"บาท",AY15)))))))</f>
        <v/>
      </c>
      <c r="BL23" s="48" t="str">
        <f>IF(AP9=0,"",IF(AP9="เพื่อปรับปรุงโครงสร้างหนี้ส่วนดอกเบี้ย","",IF(BD9=BT2,"",IF(BK23="","",IF(AY15=AV15,"บาท",IF(AY15&lt;&gt;AV15,"บาท"))))))</f>
        <v/>
      </c>
      <c r="BN23" s="41"/>
      <c r="BO23" s="41"/>
      <c r="BS23" s="125"/>
      <c r="BT23" s="125"/>
      <c r="BU23" s="18"/>
      <c r="BV23" s="12"/>
      <c r="BW23" s="12"/>
      <c r="CG23" s="35"/>
      <c r="CM23" s="34"/>
      <c r="CN23" s="34"/>
    </row>
    <row r="24" spans="1:92" x14ac:dyDescent="0.2">
      <c r="A24" s="1" t="s">
        <v>67</v>
      </c>
      <c r="B24" s="1" t="s">
        <v>10</v>
      </c>
      <c r="C24" s="1" t="s">
        <v>68</v>
      </c>
      <c r="D24" s="1" t="s">
        <v>69</v>
      </c>
      <c r="E24" s="1" t="s">
        <v>3</v>
      </c>
      <c r="F24" s="1" t="s">
        <v>29</v>
      </c>
      <c r="G24" s="1" t="s">
        <v>70</v>
      </c>
      <c r="H24" s="1" t="s">
        <v>29</v>
      </c>
      <c r="I24" s="1" t="s">
        <v>13</v>
      </c>
      <c r="J24" s="1" t="s">
        <v>14</v>
      </c>
      <c r="K24" s="1" t="s">
        <v>71</v>
      </c>
      <c r="L24" s="1" t="s">
        <v>20</v>
      </c>
      <c r="M24" s="1" t="s">
        <v>58</v>
      </c>
      <c r="N24" s="1" t="s">
        <v>72</v>
      </c>
      <c r="O24" s="1" t="s">
        <v>73</v>
      </c>
      <c r="P24" s="1" t="s">
        <v>74</v>
      </c>
      <c r="Q24" s="1" t="s">
        <v>33</v>
      </c>
      <c r="R24" s="1" t="s">
        <v>24</v>
      </c>
      <c r="S24" s="1"/>
      <c r="T24" s="1"/>
      <c r="U24" s="21">
        <v>23</v>
      </c>
      <c r="Z24" s="21">
        <f t="shared" si="0"/>
        <v>0</v>
      </c>
      <c r="AM24" s="9"/>
      <c r="AN24" s="14"/>
      <c r="AS24" s="49"/>
      <c r="AU24" s="44" t="str">
        <f>IF(AP9="เพื่อปรับปรุงโครงสร้างหนี้ส่วนดอกเบี้ย","",IF(AP9="เพื่อเป็นค่าใช้จ่าย","",IF(AP9=0,"",IF(BD9=BT2,"",IF(AV23=BW9,"โดยชำระภายในวันที่",IF(AY15=AV15,"",IF(AY15&lt;&gt;AV15," และงวดที่"&amp;BW9&amp;"วันที่")))))))</f>
        <v/>
      </c>
      <c r="AV24" s="126" t="str">
        <f>IF(AP9=0,"",IF(BD9=BT2,"",IF(AU24="","",IF(AU24&lt;&gt;"",AR15))))</f>
        <v/>
      </c>
      <c r="AW24" s="126"/>
      <c r="AX24" s="126"/>
      <c r="AY24" s="127" t="str">
        <f>IF(AU24="","",IF(AU24="โดยชำระภายในวันที่","ของทุกปี",IF(AU24&lt;&gt;"",AV24)))</f>
        <v/>
      </c>
      <c r="AZ24" s="127"/>
      <c r="BA24" s="50" t="str">
        <f>IF(AY24="","",IF(AY24="ของทุกปี","",IF(AY24&lt;&gt;"ของทุกปี","ชำระต้นเงินจำนวน")))</f>
        <v/>
      </c>
      <c r="BB24" s="44"/>
      <c r="BC24" s="128" t="str">
        <f>IF(BA24="","",IF(BA24&lt;&gt;"",BE15))</f>
        <v/>
      </c>
      <c r="BD24" s="128"/>
      <c r="BE24" s="51" t="str">
        <f>IF(BA24="","",IF(BA24&lt;&gt;"","บาท"))</f>
        <v/>
      </c>
      <c r="BF24" s="52" t="str">
        <f>IF(BA24="","",IF(BA24&lt;&gt;"","โดยชำระภายในวันที่"))</f>
        <v/>
      </c>
      <c r="BG24" s="53"/>
      <c r="BH24" s="49"/>
      <c r="BI24" s="121" t="str">
        <f>IF(BA24="","",IF(BA24&lt;&gt;"",AV24))</f>
        <v/>
      </c>
      <c r="BJ24" s="121"/>
      <c r="BK24" s="54" t="str">
        <f>IF(BA24="","",IF(BA24&lt;&gt;"","ของทุกปี"))</f>
        <v/>
      </c>
      <c r="BL24" s="49"/>
      <c r="BN24" s="41"/>
      <c r="BO24" s="41"/>
      <c r="BS24" s="55"/>
      <c r="BT24" s="55"/>
      <c r="CG24" s="35"/>
      <c r="CM24" s="34"/>
      <c r="CN24" s="34"/>
    </row>
    <row r="25" spans="1:92" x14ac:dyDescent="0.2">
      <c r="A25" s="21">
        <f>C2</f>
        <v>808</v>
      </c>
      <c r="B25" s="21">
        <f>IF(D2=0,"",D2)</f>
        <v>34</v>
      </c>
      <c r="C25" s="21" t="str">
        <f>M7</f>
        <v>นายเจะวานิ ไอซา</v>
      </c>
      <c r="D25" s="21" t="str">
        <f>IF(E11="","",E11)</f>
        <v>เพื่อเป็นค่าลงทุน</v>
      </c>
      <c r="E25" s="21">
        <f>A2</f>
        <v>40028524</v>
      </c>
      <c r="F25" s="21" t="s">
        <v>75</v>
      </c>
      <c r="G25" s="21" t="s">
        <v>75</v>
      </c>
      <c r="H25" s="21" t="s">
        <v>75</v>
      </c>
      <c r="I25" s="21" t="str">
        <f>IF(F12="","",F12)</f>
        <v>6(2)</v>
      </c>
      <c r="J25" s="21">
        <f>IF(H2=0,0,H2)</f>
        <v>50000</v>
      </c>
      <c r="K25" s="21">
        <f>D16</f>
        <v>50000</v>
      </c>
      <c r="L25" s="21">
        <f>E18</f>
        <v>0</v>
      </c>
      <c r="M25" s="21">
        <f>D14</f>
        <v>50000</v>
      </c>
      <c r="N25" s="34">
        <f>A17</f>
        <v>39994</v>
      </c>
      <c r="O25" s="21">
        <f>E20</f>
        <v>6000</v>
      </c>
      <c r="P25" s="34">
        <f>A21</f>
        <v>42916</v>
      </c>
      <c r="Q25" s="34">
        <f>A12</f>
        <v>41455</v>
      </c>
      <c r="R25" s="21">
        <f>R2</f>
        <v>17814.25</v>
      </c>
      <c r="U25" s="21">
        <v>24</v>
      </c>
      <c r="Z25" s="21">
        <f t="shared" si="0"/>
        <v>0</v>
      </c>
      <c r="AM25" s="9"/>
      <c r="AN25" s="14"/>
      <c r="CG25" s="35"/>
      <c r="CM25" s="34"/>
      <c r="CN25" s="34"/>
    </row>
    <row r="26" spans="1:92" x14ac:dyDescent="0.2">
      <c r="B26" s="21">
        <f>IF(B25=0,"",B25)</f>
        <v>34</v>
      </c>
      <c r="Y26" s="21">
        <v>50000</v>
      </c>
      <c r="Z26" s="21">
        <f>SUM(Z2:Z25)</f>
        <v>50000</v>
      </c>
      <c r="AF26" s="56">
        <v>9</v>
      </c>
      <c r="AH26" s="57">
        <v>41394</v>
      </c>
      <c r="AI26" s="58">
        <v>41425</v>
      </c>
      <c r="AJ26" s="21">
        <v>3</v>
      </c>
      <c r="AM26" s="9"/>
      <c r="AN26" s="14"/>
      <c r="AU26" s="22" t="str">
        <f>BG29&amp;BG30&amp;BG31&amp;BG32&amp;BG33&amp;BG34&amp;BG35&amp;BG36&amp;BG37&amp;BG38&amp;BG39&amp;BG40&amp;BG41&amp;BG42&amp;BG43&amp;BG44&amp;BG45&amp;BG46&amp;BG47&amp;BG48&amp;BG49&amp;BG50&amp;BG51&amp;BG52&amp;BG53&amp;BG54&amp;BG55&amp;BG56&amp;BG57&amp;BG58&amp;BG59</f>
        <v>งวดที่1วันที่30 เมษายน 2555ชำระต้นเงินจำนวน7206 บาท     งวดที่ 2ถึงงวดที่6วันที่30-กันยายน2555ถึงวันที่30 กันยายน 2559 ชำระต้นเงิน จำนวนงวดละ12000บาท และงวดที่7วันที่30-กันยายน2560</v>
      </c>
      <c r="CG26" s="35"/>
      <c r="CM26" s="34"/>
      <c r="CN26" s="34"/>
    </row>
    <row r="27" spans="1:92" x14ac:dyDescent="0.2">
      <c r="AM27" s="9"/>
      <c r="AN27" s="14"/>
      <c r="AY27" s="59"/>
      <c r="AZ27" s="12"/>
      <c r="BA27" s="59"/>
      <c r="BB27" s="132"/>
      <c r="BC27" s="132"/>
      <c r="BD27" s="132"/>
      <c r="BE27" s="19"/>
      <c r="BF27" s="133"/>
      <c r="BG27" s="133"/>
      <c r="BH27" s="133"/>
      <c r="BI27" s="125"/>
      <c r="BJ27" s="125"/>
      <c r="BK27" s="125"/>
      <c r="BL27" s="134"/>
      <c r="BM27" s="134"/>
      <c r="BN27" s="20"/>
      <c r="BO27" s="55"/>
      <c r="CG27" s="35"/>
      <c r="CM27" s="34"/>
      <c r="CN27" s="34"/>
    </row>
    <row r="28" spans="1:92" x14ac:dyDescent="0.2">
      <c r="AH28" s="60">
        <f>A12</f>
        <v>41455</v>
      </c>
      <c r="AI28" s="60">
        <f>DATE(YEAR(AH28)+1,MONTH(AH28)+1,0)</f>
        <v>41820</v>
      </c>
      <c r="AJ28" s="60"/>
      <c r="AM28" s="9"/>
      <c r="AN28" s="14"/>
      <c r="AU28" s="59"/>
      <c r="AV28" s="61"/>
      <c r="AW28" s="59"/>
      <c r="AX28" s="62"/>
      <c r="AY28" s="62"/>
      <c r="AZ28" s="62"/>
      <c r="BA28" s="63"/>
      <c r="BB28" s="59"/>
      <c r="BC28" s="64"/>
      <c r="BD28" s="64"/>
      <c r="BE28" s="64"/>
      <c r="BF28" s="20"/>
      <c r="BG28" s="20"/>
      <c r="BK28" s="65"/>
      <c r="BL28" s="49"/>
      <c r="BN28" s="41"/>
      <c r="BO28" s="41"/>
      <c r="BS28" s="125"/>
      <c r="BT28" s="125"/>
      <c r="CG28" s="35"/>
      <c r="CM28" s="34"/>
      <c r="CN28" s="34"/>
    </row>
    <row r="29" spans="1:92" x14ac:dyDescent="0.2">
      <c r="A29" s="21">
        <v>125</v>
      </c>
      <c r="B29" s="21">
        <v>8</v>
      </c>
      <c r="C29" s="21">
        <v>2</v>
      </c>
      <c r="D29" s="21" t="s">
        <v>76</v>
      </c>
      <c r="E29" s="21">
        <v>51001220</v>
      </c>
      <c r="F29" s="21" t="s">
        <v>75</v>
      </c>
      <c r="G29" s="21" t="s">
        <v>75</v>
      </c>
      <c r="H29" s="21" t="s">
        <v>75</v>
      </c>
      <c r="I29" s="21" t="s">
        <v>77</v>
      </c>
      <c r="J29" s="21">
        <v>50000</v>
      </c>
      <c r="K29" s="21">
        <v>0</v>
      </c>
      <c r="L29" s="21">
        <v>50000</v>
      </c>
      <c r="M29" s="21">
        <v>50000</v>
      </c>
      <c r="N29" s="34">
        <v>40086</v>
      </c>
      <c r="O29" s="21" t="b">
        <v>0</v>
      </c>
      <c r="P29" s="34">
        <v>41547</v>
      </c>
      <c r="Q29" s="34">
        <v>1193887</v>
      </c>
      <c r="R29" s="21">
        <v>1197.5</v>
      </c>
      <c r="AD29" s="1" t="s">
        <v>0</v>
      </c>
      <c r="AE29" s="21">
        <v>2500</v>
      </c>
      <c r="AH29" s="58"/>
      <c r="AM29" s="9"/>
      <c r="AN29" s="14"/>
      <c r="AS29" s="49"/>
      <c r="AU29" s="59"/>
      <c r="AV29" s="62"/>
      <c r="AW29" s="62"/>
      <c r="AX29" s="62"/>
      <c r="AY29" s="66"/>
      <c r="AZ29" s="66"/>
      <c r="BA29" s="67"/>
      <c r="BB29" s="59"/>
      <c r="BC29" s="41"/>
      <c r="BD29" s="41"/>
      <c r="BE29" s="68" t="s">
        <v>78</v>
      </c>
      <c r="BF29" s="53"/>
      <c r="BG29" s="24" t="str">
        <f>IF(BE29=0,"",BE29)</f>
        <v>งวดที่1</v>
      </c>
      <c r="BH29" s="49"/>
      <c r="BI29" s="62"/>
      <c r="BJ29" s="62"/>
      <c r="BK29" s="62"/>
      <c r="BL29" s="49"/>
      <c r="BN29" s="41"/>
      <c r="BO29" s="41"/>
      <c r="BS29" s="55"/>
      <c r="BT29" s="55"/>
      <c r="CG29" s="35"/>
      <c r="CM29" s="34"/>
      <c r="CN29" s="34"/>
    </row>
    <row r="30" spans="1:92" x14ac:dyDescent="0.2">
      <c r="AM30" s="9"/>
      <c r="BE30" s="68"/>
      <c r="BG30" s="24" t="str">
        <f t="shared" ref="BG30:BG52" si="13">IF(BE30=0,"",BE30)</f>
        <v/>
      </c>
      <c r="CG30" s="35"/>
      <c r="CM30" s="34"/>
      <c r="CN30" s="34"/>
    </row>
    <row r="31" spans="1:92" x14ac:dyDescent="0.2">
      <c r="A31" s="1" t="s">
        <v>79</v>
      </c>
      <c r="C31" s="69" t="s">
        <v>80</v>
      </c>
      <c r="W31" s="21">
        <f t="array" ref="W31">INDEX($AL$31:$AL$50,SMALL(IF(ISNA(MATCH($Y$31:$Y$50,$AK$31:$AK$50,0)),ROW($AL$31:$AL$50)-ROW($AL$31)+1),1))</f>
        <v>12000</v>
      </c>
      <c r="X31" s="21">
        <v>1</v>
      </c>
      <c r="Y31" s="70">
        <f>AJ31</f>
        <v>41820</v>
      </c>
      <c r="Z31" s="79">
        <v>0</v>
      </c>
      <c r="AA31" s="32">
        <f>IFERROR(AB31,0)</f>
        <v>4000</v>
      </c>
      <c r="AB31" s="32">
        <f>IF(ISNA(VLOOKUP(Y31,$AK$31:$AL$50,2,0)),$W$31/$W$32,VLOOKUP(Y31,$AK$31:$AL$50,2,0))</f>
        <v>4000</v>
      </c>
      <c r="AC31" s="32">
        <v>1</v>
      </c>
      <c r="AD31" s="32">
        <f>IF(W2="","",($AE$29+W2)-543)</f>
        <v>2013</v>
      </c>
      <c r="AE31" s="32">
        <f>IF(X2="","",X2)</f>
        <v>5</v>
      </c>
      <c r="AF31" s="32">
        <f>IF(AND(AD31&lt;&gt;"",AE31&lt;&gt;""),(1&amp;"/"&amp;AE31&amp;"/"&amp;AD31)*1,"")</f>
        <v>41395</v>
      </c>
      <c r="AG31" s="71">
        <f>AF31</f>
        <v>41395</v>
      </c>
      <c r="AH31" s="70">
        <f>IF(AG31&lt;&gt;"",DATE(YEAR(AG31),MONTH(AG31)+1,0),"")</f>
        <v>41425</v>
      </c>
      <c r="AI31" s="32">
        <f>IF(Y2&lt;&gt;"",Y2,"")</f>
        <v>12000</v>
      </c>
      <c r="AJ31" s="70">
        <f>IF(AF26=1,AH31,IF(AI31="","",IF(AH31=AH26,AH31,IF(AH31=AI26,AI28,AH31))))</f>
        <v>41820</v>
      </c>
      <c r="AK31" s="70">
        <f>IF($AF$26=1,AI31,IF(AH31="","",IF(AH31=AH26,AH26,DATE(YEAR(AH31)+$AJ$26,MONTH(AH31)+1,0))))</f>
        <v>42521</v>
      </c>
      <c r="AL31" s="32">
        <f>AI31</f>
        <v>12000</v>
      </c>
      <c r="AM31" s="9"/>
      <c r="BE31" s="68" t="s">
        <v>81</v>
      </c>
      <c r="BG31" s="24" t="str">
        <f t="shared" si="13"/>
        <v>วันที่</v>
      </c>
      <c r="CG31" s="35"/>
      <c r="CM31" s="34"/>
      <c r="CN31" s="34"/>
    </row>
    <row r="32" spans="1:92" x14ac:dyDescent="0.2">
      <c r="A32" s="1">
        <f>A2</f>
        <v>40028524</v>
      </c>
      <c r="B32" s="21" t="str">
        <f>D25</f>
        <v>เพื่อเป็นค่าลงทุน</v>
      </c>
      <c r="C32" s="58" t="e">
        <f>C31*1</f>
        <v>#VALUE!</v>
      </c>
      <c r="D32" s="21">
        <f>A2</f>
        <v>40028524</v>
      </c>
      <c r="E32" s="21" t="str">
        <f>I25</f>
        <v>6(2)</v>
      </c>
      <c r="F32" s="21">
        <f>L25</f>
        <v>0</v>
      </c>
      <c r="G32" s="21">
        <f>K25</f>
        <v>50000</v>
      </c>
      <c r="H32" s="21">
        <f>R25</f>
        <v>17814.25</v>
      </c>
      <c r="I32" s="34">
        <f>P25</f>
        <v>42916</v>
      </c>
      <c r="J32" s="34">
        <f>Q25</f>
        <v>41455</v>
      </c>
      <c r="W32" s="21">
        <f>COUNTIF(Z31:Z50,0)</f>
        <v>3</v>
      </c>
      <c r="X32" s="21">
        <v>2</v>
      </c>
      <c r="Y32" s="70">
        <f t="shared" ref="Y32:Y50" si="14">AJ32</f>
        <v>42185</v>
      </c>
      <c r="Z32" s="79">
        <v>0</v>
      </c>
      <c r="AA32" s="32">
        <f t="shared" ref="AA32:AA50" si="15">IFERROR(AB32,0)</f>
        <v>4000</v>
      </c>
      <c r="AB32" s="32">
        <f t="shared" ref="AB32:AB50" si="16">IF(ISNA(VLOOKUP(Y32,$AK$31:$AL$50,2,0)),$W$31/$W$32,VLOOKUP(Y32,$AK$31:$AL$50,2,0))</f>
        <v>4000</v>
      </c>
      <c r="AC32" s="32">
        <v>2</v>
      </c>
      <c r="AD32" s="32">
        <f t="shared" ref="AD32:AD50" si="17">IF(W3="","",($AE$29+W3)-543)</f>
        <v>2014</v>
      </c>
      <c r="AE32" s="32">
        <f t="shared" ref="AE32:AE50" si="18">IF(X3="","",X3)</f>
        <v>6</v>
      </c>
      <c r="AF32" s="32">
        <f t="shared" ref="AF32:AF50" si="19">IF(AND(AD32&lt;&gt;"",AE32&lt;&gt;""),(1&amp;"/"&amp;AE32&amp;"/"&amp;AD32)*1,"")</f>
        <v>41791</v>
      </c>
      <c r="AG32" s="71">
        <f t="shared" ref="AG32:AG50" si="20">AF32</f>
        <v>41791</v>
      </c>
      <c r="AH32" s="70">
        <f t="shared" ref="AH32:AH50" si="21">IF(AG32&lt;&gt;"",DATE(YEAR(AG32),MONTH(AG32)+1,0),"")</f>
        <v>41820</v>
      </c>
      <c r="AI32" s="32">
        <f t="shared" ref="AI32:AI50" si="22">IF(Y3&lt;&gt;"",Y3,"")</f>
        <v>6000</v>
      </c>
      <c r="AJ32" s="70">
        <f>IF(AF26=1,AH32,IF(AND(AH32="",AH31=AH26),"",IF(AH32=AI26,AI28,IF(AH31=AI26,DATE(YEAR(AI28)+1,MONTH(AI28)+1,0)))))</f>
        <v>42185</v>
      </c>
      <c r="AK32" s="70">
        <f t="shared" ref="AK32:AK50" si="23">IF($AF$26=1,AI32,IF(AH32="","",IF(AH32=AH27,AH27,DATE(YEAR(AH32)+$AJ$26,MONTH(AH32)+1,0))))</f>
        <v>42916</v>
      </c>
      <c r="AL32" s="32">
        <f t="shared" ref="AL32:AL50" si="24">AI32</f>
        <v>6000</v>
      </c>
      <c r="AM32" s="9"/>
      <c r="AY32" s="59"/>
      <c r="AZ32" s="12"/>
      <c r="BA32" s="59"/>
      <c r="BB32" s="64"/>
      <c r="BC32" s="64"/>
      <c r="BD32" s="64"/>
      <c r="BE32" s="68" t="s">
        <v>82</v>
      </c>
      <c r="BF32" s="64"/>
      <c r="BG32" s="24" t="str">
        <f t="shared" si="13"/>
        <v>30 เมษายน 2555</v>
      </c>
      <c r="BH32" s="64"/>
      <c r="BI32" s="41"/>
      <c r="BJ32" s="41"/>
      <c r="BK32" s="41"/>
      <c r="BL32" s="41"/>
      <c r="BM32" s="41"/>
      <c r="BN32" s="20"/>
      <c r="BO32" s="55"/>
      <c r="CG32" s="35"/>
      <c r="CM32" s="34"/>
      <c r="CN32" s="34"/>
    </row>
    <row r="33" spans="1:92" x14ac:dyDescent="0.2">
      <c r="A33" s="21">
        <v>51001220</v>
      </c>
      <c r="B33" s="21" t="s">
        <v>76</v>
      </c>
      <c r="C33" s="58">
        <v>237948</v>
      </c>
      <c r="D33" s="21">
        <v>51001220</v>
      </c>
      <c r="E33" s="21" t="s">
        <v>77</v>
      </c>
      <c r="F33" s="21">
        <v>0</v>
      </c>
      <c r="G33" s="21">
        <v>50000</v>
      </c>
      <c r="H33" s="21">
        <v>1197.5</v>
      </c>
      <c r="I33" s="21">
        <v>41547</v>
      </c>
      <c r="J33" s="21">
        <v>41182</v>
      </c>
      <c r="X33" s="21">
        <v>3</v>
      </c>
      <c r="Y33" s="70">
        <f t="shared" si="14"/>
        <v>42551</v>
      </c>
      <c r="Z33" s="79">
        <v>0</v>
      </c>
      <c r="AA33" s="32">
        <f t="shared" si="15"/>
        <v>4000</v>
      </c>
      <c r="AB33" s="32">
        <f t="shared" si="16"/>
        <v>4000</v>
      </c>
      <c r="AC33" s="32">
        <v>3</v>
      </c>
      <c r="AD33" s="32">
        <f t="shared" si="17"/>
        <v>2015</v>
      </c>
      <c r="AE33" s="32">
        <f t="shared" si="18"/>
        <v>6</v>
      </c>
      <c r="AF33" s="32">
        <f t="shared" si="19"/>
        <v>42156</v>
      </c>
      <c r="AG33" s="71">
        <f t="shared" si="20"/>
        <v>42156</v>
      </c>
      <c r="AH33" s="70">
        <f t="shared" si="21"/>
        <v>42185</v>
      </c>
      <c r="AI33" s="32">
        <f t="shared" si="22"/>
        <v>6000</v>
      </c>
      <c r="AJ33" s="70">
        <f>IF(AF26=1,"",IF(AND(AH32="",AH31=AH26),"",IF(AH32=AI26,DATE(YEAR(AJ32)+1,MONTH(AJ32)+1,0),DATE(YEAR(AJ32)+1,MONTH(AJ32)+1,0))))</f>
        <v>42551</v>
      </c>
      <c r="AK33" s="70">
        <f t="shared" si="23"/>
        <v>43281</v>
      </c>
      <c r="AL33" s="32">
        <f t="shared" si="24"/>
        <v>6000</v>
      </c>
      <c r="AU33" s="59"/>
      <c r="AV33" s="61"/>
      <c r="AW33" s="59"/>
      <c r="AX33" s="62"/>
      <c r="AY33" s="62"/>
      <c r="AZ33" s="62"/>
      <c r="BA33" s="63"/>
      <c r="BB33" s="59"/>
      <c r="BC33" s="64"/>
      <c r="BD33" s="64"/>
      <c r="BE33" s="68" t="s">
        <v>83</v>
      </c>
      <c r="BF33" s="20"/>
      <c r="BG33" s="24" t="str">
        <f t="shared" si="13"/>
        <v>ชำระ</v>
      </c>
      <c r="BK33" s="65"/>
      <c r="BL33" s="49"/>
      <c r="BN33" s="41"/>
      <c r="BO33" s="41"/>
      <c r="BS33" s="125"/>
      <c r="BT33" s="125"/>
      <c r="CG33" s="35"/>
      <c r="CM33" s="34"/>
      <c r="CN33" s="34"/>
    </row>
    <row r="34" spans="1:92" x14ac:dyDescent="0.2">
      <c r="X34" s="21">
        <v>4</v>
      </c>
      <c r="Y34" s="70">
        <f t="shared" si="14"/>
        <v>42916</v>
      </c>
      <c r="Z34" s="79">
        <v>6000</v>
      </c>
      <c r="AA34" s="32">
        <f t="shared" si="15"/>
        <v>6000</v>
      </c>
      <c r="AB34" s="32">
        <f t="shared" si="16"/>
        <v>6000</v>
      </c>
      <c r="AC34" s="32">
        <v>4</v>
      </c>
      <c r="AD34" s="32">
        <f t="shared" si="17"/>
        <v>2016</v>
      </c>
      <c r="AE34" s="32">
        <f t="shared" si="18"/>
        <v>6</v>
      </c>
      <c r="AF34" s="32">
        <f t="shared" si="19"/>
        <v>42522</v>
      </c>
      <c r="AG34" s="71">
        <f t="shared" si="20"/>
        <v>42522</v>
      </c>
      <c r="AH34" s="70">
        <f t="shared" si="21"/>
        <v>42551</v>
      </c>
      <c r="AI34" s="32">
        <f t="shared" si="22"/>
        <v>6000</v>
      </c>
      <c r="AJ34" s="70">
        <f>IF(AF26=1,"",IF(AH32="","",IF(AND(AH32=AI26,AH33=""),DATE(YEAR(AJ33)+1,MONTH(AJ33)+1,0),IF(AND(AH32=AI26,AD32&lt;&gt;AD33,AH33&lt;&gt;""),DATE(YEAR(AJ33)+1,MONTH(AJ33)+1,0),IF(AND(AH32=AI26,AD33=AD32,AH33&lt;&gt;""),DATE(YEAR(AH33)+AJ26,MONTH(AJ33)+1,0),IF(AND(AH31=AI26,AD32&lt;&gt;AD31,AH32&lt;&gt;""),DATE(YEAR(AH32)+AJ26,MONTH(AH32)+1,0),IF(AND(AH31=AI26,AD33&lt;&gt;AD32,AH33&lt;&gt;""),DATE(YEAR(AH33)+AJ26,MONTH(AH33)+1,0))))))))</f>
        <v>42916</v>
      </c>
      <c r="AK34" s="70">
        <f t="shared" si="23"/>
        <v>43646</v>
      </c>
      <c r="AL34" s="32">
        <f t="shared" si="24"/>
        <v>6000</v>
      </c>
      <c r="AS34" s="49"/>
      <c r="AU34" s="59"/>
      <c r="AV34" s="62"/>
      <c r="AW34" s="62"/>
      <c r="AX34" s="62"/>
      <c r="AY34" s="66"/>
      <c r="AZ34" s="66"/>
      <c r="BA34" s="67"/>
      <c r="BB34" s="59"/>
      <c r="BC34" s="41"/>
      <c r="BD34" s="41"/>
      <c r="BE34" s="68" t="s">
        <v>84</v>
      </c>
      <c r="BF34" s="53"/>
      <c r="BG34" s="24" t="str">
        <f t="shared" si="13"/>
        <v>ต้นเงินจำนวน</v>
      </c>
      <c r="BH34" s="49"/>
      <c r="BI34" s="62"/>
      <c r="BJ34" s="62"/>
      <c r="BK34" s="62"/>
      <c r="BL34" s="49"/>
      <c r="BN34" s="41"/>
      <c r="BO34" s="41"/>
      <c r="BS34" s="55"/>
      <c r="BT34" s="55"/>
      <c r="CG34" s="35"/>
      <c r="CM34" s="34"/>
      <c r="CN34" s="34"/>
    </row>
    <row r="35" spans="1:92" x14ac:dyDescent="0.2">
      <c r="X35" s="21">
        <v>5</v>
      </c>
      <c r="Y35" s="70">
        <f t="shared" si="14"/>
        <v>43281</v>
      </c>
      <c r="Z35" s="79">
        <v>6000</v>
      </c>
      <c r="AA35" s="32">
        <f t="shared" si="15"/>
        <v>6000</v>
      </c>
      <c r="AB35" s="32">
        <f t="shared" si="16"/>
        <v>6000</v>
      </c>
      <c r="AC35" s="32">
        <v>5</v>
      </c>
      <c r="AD35" s="32">
        <f t="shared" si="17"/>
        <v>2017</v>
      </c>
      <c r="AE35" s="32">
        <f t="shared" si="18"/>
        <v>6</v>
      </c>
      <c r="AF35" s="32">
        <f t="shared" si="19"/>
        <v>42887</v>
      </c>
      <c r="AG35" s="71">
        <f t="shared" si="20"/>
        <v>42887</v>
      </c>
      <c r="AH35" s="70">
        <f t="shared" si="21"/>
        <v>42916</v>
      </c>
      <c r="AI35" s="32">
        <f t="shared" si="22"/>
        <v>6000</v>
      </c>
      <c r="AJ35" s="70">
        <f>IF(AF26=1,"",IF(AH33="","",IF(AND(AD33=AD32,AH34=""),"",IF(AND(AH33&lt;&gt;"",AD33&lt;&gt;AD32),DATE(YEAR(AH33)+AJ26,MONTH(AH33)+1,0),IF(AND(AH33&lt;&gt;"",AD33=AD32),DATE(YEAR(AH34)+AJ26,MONTH(AH34)+1,0))))))</f>
        <v>43281</v>
      </c>
      <c r="AK35" s="70">
        <f t="shared" si="23"/>
        <v>44012</v>
      </c>
      <c r="AL35" s="32">
        <f t="shared" si="24"/>
        <v>6000</v>
      </c>
      <c r="BE35" s="72">
        <v>7206</v>
      </c>
      <c r="BG35" s="24">
        <f t="shared" si="13"/>
        <v>7206</v>
      </c>
      <c r="CG35" s="35"/>
      <c r="CM35" s="34"/>
      <c r="CN35" s="34"/>
    </row>
    <row r="36" spans="1:92" x14ac:dyDescent="0.2">
      <c r="X36" s="21">
        <v>6</v>
      </c>
      <c r="Y36" s="70">
        <f t="shared" si="14"/>
        <v>43646</v>
      </c>
      <c r="Z36" s="79">
        <v>6000</v>
      </c>
      <c r="AA36" s="32">
        <f t="shared" si="15"/>
        <v>6000</v>
      </c>
      <c r="AB36" s="32">
        <f t="shared" si="16"/>
        <v>6000</v>
      </c>
      <c r="AC36" s="32">
        <v>6</v>
      </c>
      <c r="AD36" s="32">
        <f t="shared" si="17"/>
        <v>2018</v>
      </c>
      <c r="AE36" s="32">
        <f t="shared" si="18"/>
        <v>6</v>
      </c>
      <c r="AF36" s="32">
        <f t="shared" si="19"/>
        <v>43252</v>
      </c>
      <c r="AG36" s="71">
        <f t="shared" si="20"/>
        <v>43252</v>
      </c>
      <c r="AH36" s="70">
        <f t="shared" si="21"/>
        <v>43281</v>
      </c>
      <c r="AI36" s="32">
        <f t="shared" si="22"/>
        <v>14000</v>
      </c>
      <c r="AJ36" s="70">
        <f>IF($AF$26=1,"",IF(AH34="","",IF(AND(AH35="",$AD$33=$AD$32),"",IF(AND(AH34&lt;&gt;"",$AD$33&lt;&gt;$AD$32),DATE(YEAR(AH34)+$AJ$26,MONTH(AH34)+1,0),IF(AND(AH34&lt;&gt;"",$AD$33=$AD$32),DATE(YEAR(AH35)+$AJ$26,MONTH(AH35)+1,0))))))</f>
        <v>43646</v>
      </c>
      <c r="AK36" s="70">
        <f t="shared" si="23"/>
        <v>44377</v>
      </c>
      <c r="AL36" s="32">
        <f t="shared" si="24"/>
        <v>14000</v>
      </c>
      <c r="BE36" s="72" t="s">
        <v>85</v>
      </c>
      <c r="BG36" s="24" t="str">
        <f t="shared" si="13"/>
        <v xml:space="preserve"> บาท </v>
      </c>
      <c r="CG36" s="35"/>
      <c r="CM36" s="34"/>
      <c r="CN36" s="34"/>
    </row>
    <row r="37" spans="1:92" x14ac:dyDescent="0.2">
      <c r="X37" s="21">
        <v>7</v>
      </c>
      <c r="Y37" s="70">
        <f t="shared" si="14"/>
        <v>44012</v>
      </c>
      <c r="Z37" s="79">
        <v>6000</v>
      </c>
      <c r="AA37" s="32">
        <f t="shared" si="15"/>
        <v>6000</v>
      </c>
      <c r="AB37" s="32">
        <f t="shared" si="16"/>
        <v>6000</v>
      </c>
      <c r="AC37" s="32">
        <v>7</v>
      </c>
      <c r="AD37" s="32" t="str">
        <f t="shared" si="17"/>
        <v/>
      </c>
      <c r="AE37" s="32" t="str">
        <f t="shared" si="18"/>
        <v/>
      </c>
      <c r="AF37" s="32" t="str">
        <f t="shared" si="19"/>
        <v/>
      </c>
      <c r="AG37" s="71" t="str">
        <f t="shared" si="20"/>
        <v/>
      </c>
      <c r="AH37" s="70" t="str">
        <f t="shared" si="21"/>
        <v/>
      </c>
      <c r="AI37" s="32" t="str">
        <f t="shared" si="22"/>
        <v/>
      </c>
      <c r="AJ37" s="70">
        <f t="shared" ref="AJ37:AJ50" si="25">IF($AF$26=1,"",IF(AH35="","",IF(AND(AH36="",$AD$33=$AD$32),"",IF(AND(AH35&lt;&gt;"",$AD$33&lt;&gt;$AD$32),DATE(YEAR(AH35)+$AJ$26,MONTH(AH35)+1,0),IF(AND(AH35&lt;&gt;"",$AD$33=$AD$32),DATE(YEAR(AH36)+$AJ$26,MONTH(AH36)+1,0))))))</f>
        <v>44012</v>
      </c>
      <c r="AK37" s="70" t="str">
        <f t="shared" si="23"/>
        <v/>
      </c>
      <c r="AL37" s="32" t="str">
        <f t="shared" si="24"/>
        <v/>
      </c>
      <c r="AY37" s="59"/>
      <c r="AZ37" s="12"/>
      <c r="BA37" s="59"/>
      <c r="BB37" s="64"/>
      <c r="BC37" s="64"/>
      <c r="BD37" s="64"/>
      <c r="BE37" s="68" t="s">
        <v>86</v>
      </c>
      <c r="BF37" s="64"/>
      <c r="BG37" s="24" t="str">
        <f t="shared" si="13"/>
        <v xml:space="preserve">  </v>
      </c>
      <c r="BH37" s="64"/>
      <c r="BI37" s="41"/>
      <c r="BJ37" s="41"/>
      <c r="BK37" s="41"/>
      <c r="BL37" s="41"/>
      <c r="BM37" s="41"/>
      <c r="BN37" s="20"/>
      <c r="BO37" s="55"/>
      <c r="CG37" s="35"/>
      <c r="CM37" s="34"/>
      <c r="CN37" s="34"/>
    </row>
    <row r="38" spans="1:92" x14ac:dyDescent="0.2">
      <c r="X38" s="21">
        <v>8</v>
      </c>
      <c r="Y38" s="70">
        <f t="shared" si="14"/>
        <v>44377</v>
      </c>
      <c r="Z38" s="79">
        <v>14000</v>
      </c>
      <c r="AA38" s="32">
        <f t="shared" si="15"/>
        <v>14000</v>
      </c>
      <c r="AB38" s="32">
        <f t="shared" si="16"/>
        <v>14000</v>
      </c>
      <c r="AC38" s="32">
        <v>8</v>
      </c>
      <c r="AD38" s="32" t="str">
        <f t="shared" si="17"/>
        <v/>
      </c>
      <c r="AE38" s="32" t="str">
        <f t="shared" si="18"/>
        <v/>
      </c>
      <c r="AF38" s="32" t="str">
        <f t="shared" si="19"/>
        <v/>
      </c>
      <c r="AG38" s="71" t="str">
        <f t="shared" si="20"/>
        <v/>
      </c>
      <c r="AH38" s="70" t="str">
        <f t="shared" si="21"/>
        <v/>
      </c>
      <c r="AI38" s="32" t="str">
        <f t="shared" si="22"/>
        <v/>
      </c>
      <c r="AJ38" s="70">
        <f t="shared" si="25"/>
        <v>44377</v>
      </c>
      <c r="AK38" s="70" t="str">
        <f t="shared" si="23"/>
        <v/>
      </c>
      <c r="AL38" s="32" t="str">
        <f t="shared" si="24"/>
        <v/>
      </c>
      <c r="AU38" s="59"/>
      <c r="AV38" s="61"/>
      <c r="AW38" s="59"/>
      <c r="AX38" s="62"/>
      <c r="AY38" s="62"/>
      <c r="AZ38" s="62"/>
      <c r="BA38" s="63"/>
      <c r="BB38" s="59"/>
      <c r="BC38" s="64"/>
      <c r="BD38" s="64"/>
      <c r="BE38" s="68" t="s">
        <v>86</v>
      </c>
      <c r="BF38" s="20"/>
      <c r="BG38" s="24" t="str">
        <f t="shared" si="13"/>
        <v xml:space="preserve">  </v>
      </c>
      <c r="BK38" s="65"/>
      <c r="BL38" s="49"/>
      <c r="BN38" s="41"/>
      <c r="BO38" s="41"/>
      <c r="BS38" s="125"/>
      <c r="BT38" s="125"/>
      <c r="CG38" s="35"/>
      <c r="CM38" s="34"/>
      <c r="CN38" s="34"/>
    </row>
    <row r="39" spans="1:92" x14ac:dyDescent="0.2">
      <c r="A39" s="21" t="s">
        <v>67</v>
      </c>
      <c r="B39" s="21" t="s">
        <v>10</v>
      </c>
      <c r="C39" s="21" t="s">
        <v>68</v>
      </c>
      <c r="D39" s="21" t="s">
        <v>69</v>
      </c>
      <c r="E39" s="21" t="s">
        <v>3</v>
      </c>
      <c r="F39" s="21" t="s">
        <v>29</v>
      </c>
      <c r="G39" s="21" t="s">
        <v>70</v>
      </c>
      <c r="H39" s="33" t="s">
        <v>29</v>
      </c>
      <c r="I39" s="33" t="s">
        <v>13</v>
      </c>
      <c r="J39" s="33" t="s">
        <v>14</v>
      </c>
      <c r="K39" s="33" t="s">
        <v>71</v>
      </c>
      <c r="L39" s="33" t="s">
        <v>20</v>
      </c>
      <c r="M39" s="21" t="s">
        <v>58</v>
      </c>
      <c r="N39" s="21" t="s">
        <v>72</v>
      </c>
      <c r="O39" s="21" t="s">
        <v>73</v>
      </c>
      <c r="P39" s="33" t="s">
        <v>74</v>
      </c>
      <c r="Q39" s="33" t="s">
        <v>33</v>
      </c>
      <c r="R39" s="33" t="s">
        <v>24</v>
      </c>
      <c r="S39" s="33" t="s">
        <v>87</v>
      </c>
      <c r="T39" s="33" t="s">
        <v>88</v>
      </c>
      <c r="U39" s="21" t="s">
        <v>89</v>
      </c>
      <c r="X39" s="21">
        <v>9</v>
      </c>
      <c r="Y39" s="70" t="str">
        <f t="shared" si="14"/>
        <v/>
      </c>
      <c r="Z39" s="79"/>
      <c r="AA39" s="32" t="str">
        <f t="shared" si="15"/>
        <v/>
      </c>
      <c r="AB39" s="32" t="str">
        <f t="shared" si="16"/>
        <v/>
      </c>
      <c r="AC39" s="32">
        <v>9</v>
      </c>
      <c r="AD39" s="32" t="str">
        <f t="shared" si="17"/>
        <v/>
      </c>
      <c r="AE39" s="32" t="str">
        <f t="shared" si="18"/>
        <v/>
      </c>
      <c r="AF39" s="32" t="str">
        <f t="shared" si="19"/>
        <v/>
      </c>
      <c r="AG39" s="71" t="str">
        <f t="shared" si="20"/>
        <v/>
      </c>
      <c r="AH39" s="70" t="str">
        <f t="shared" si="21"/>
        <v/>
      </c>
      <c r="AI39" s="32" t="str">
        <f t="shared" si="22"/>
        <v/>
      </c>
      <c r="AJ39" s="70" t="str">
        <f t="shared" si="25"/>
        <v/>
      </c>
      <c r="AK39" s="70" t="str">
        <f t="shared" si="23"/>
        <v/>
      </c>
      <c r="AL39" s="32" t="str">
        <f t="shared" si="24"/>
        <v/>
      </c>
      <c r="AS39" s="49"/>
      <c r="AU39" s="59"/>
      <c r="AV39" s="62"/>
      <c r="AW39" s="62"/>
      <c r="AX39" s="62"/>
      <c r="AY39" s="66"/>
      <c r="AZ39" s="66"/>
      <c r="BA39" s="67"/>
      <c r="BB39" s="59"/>
      <c r="BC39" s="41"/>
      <c r="BD39" s="41"/>
      <c r="BE39" s="68" t="s">
        <v>90</v>
      </c>
      <c r="BF39" s="53"/>
      <c r="BG39" s="24" t="str">
        <f t="shared" si="13"/>
        <v>งวดที่ 2ถึงงวดที่</v>
      </c>
      <c r="BH39" s="49"/>
      <c r="BI39" s="62"/>
      <c r="BJ39" s="62"/>
      <c r="BK39" s="62"/>
      <c r="BL39" s="49"/>
      <c r="BN39" s="41"/>
      <c r="BO39" s="41"/>
      <c r="BS39" s="55"/>
      <c r="BT39" s="55"/>
      <c r="CG39" s="35"/>
      <c r="CM39" s="34"/>
      <c r="CN39" s="34"/>
    </row>
    <row r="40" spans="1:92" x14ac:dyDescent="0.2">
      <c r="A40" s="21">
        <v>515</v>
      </c>
      <c r="B40" s="21">
        <v>29</v>
      </c>
      <c r="C40" s="21" t="s">
        <v>91</v>
      </c>
      <c r="D40" s="21" t="s">
        <v>76</v>
      </c>
      <c r="E40" s="21">
        <v>42016014</v>
      </c>
      <c r="F40" s="21">
        <v>234737</v>
      </c>
      <c r="G40" s="21">
        <v>0</v>
      </c>
      <c r="H40" s="21">
        <v>0</v>
      </c>
      <c r="I40" s="21" t="s">
        <v>92</v>
      </c>
      <c r="J40" s="21">
        <v>100000</v>
      </c>
      <c r="K40" s="21">
        <v>80000</v>
      </c>
      <c r="L40" s="21">
        <v>7206</v>
      </c>
      <c r="M40" s="21">
        <v>87206</v>
      </c>
      <c r="N40" s="21">
        <v>40086</v>
      </c>
      <c r="O40" s="21">
        <v>10000</v>
      </c>
      <c r="P40" s="21">
        <v>41912</v>
      </c>
      <c r="Q40" s="21">
        <v>41182</v>
      </c>
      <c r="R40" s="21">
        <v>4802.0010000000002</v>
      </c>
      <c r="S40" s="21">
        <v>120000</v>
      </c>
      <c r="T40" s="21">
        <v>48000</v>
      </c>
      <c r="U40" s="21">
        <v>51.42</v>
      </c>
      <c r="X40" s="21">
        <v>10</v>
      </c>
      <c r="Y40" s="70" t="str">
        <f t="shared" si="14"/>
        <v/>
      </c>
      <c r="Z40" s="79"/>
      <c r="AA40" s="32"/>
      <c r="AB40" s="32" t="str">
        <f t="shared" si="16"/>
        <v/>
      </c>
      <c r="AC40" s="32">
        <v>10</v>
      </c>
      <c r="AD40" s="32" t="str">
        <f t="shared" si="17"/>
        <v/>
      </c>
      <c r="AE40" s="32" t="str">
        <f t="shared" si="18"/>
        <v/>
      </c>
      <c r="AF40" s="32" t="str">
        <f t="shared" si="19"/>
        <v/>
      </c>
      <c r="AG40" s="71" t="str">
        <f t="shared" si="20"/>
        <v/>
      </c>
      <c r="AH40" s="70" t="str">
        <f t="shared" si="21"/>
        <v/>
      </c>
      <c r="AI40" s="32" t="str">
        <f t="shared" si="22"/>
        <v/>
      </c>
      <c r="AJ40" s="70" t="str">
        <f t="shared" si="25"/>
        <v/>
      </c>
      <c r="AK40" s="70" t="str">
        <f t="shared" si="23"/>
        <v/>
      </c>
      <c r="AL40" s="32" t="str">
        <f t="shared" si="24"/>
        <v/>
      </c>
      <c r="BE40" s="68">
        <v>6</v>
      </c>
      <c r="BG40" s="24">
        <f t="shared" si="13"/>
        <v>6</v>
      </c>
      <c r="CG40" s="35"/>
      <c r="CM40" s="34"/>
      <c r="CN40" s="34"/>
    </row>
    <row r="41" spans="1:92" x14ac:dyDescent="0.2">
      <c r="A41" s="6" t="s">
        <v>27</v>
      </c>
      <c r="B41" s="6" t="s">
        <v>28</v>
      </c>
      <c r="C41" s="1" t="s">
        <v>29</v>
      </c>
      <c r="D41" s="1" t="s">
        <v>30</v>
      </c>
      <c r="E41" s="1" t="s">
        <v>13</v>
      </c>
      <c r="F41" s="1" t="s">
        <v>20</v>
      </c>
      <c r="G41" s="1" t="s">
        <v>31</v>
      </c>
      <c r="H41" s="1" t="s">
        <v>24</v>
      </c>
      <c r="I41" s="1" t="s">
        <v>32</v>
      </c>
      <c r="J41" s="1" t="s">
        <v>33</v>
      </c>
      <c r="K41" s="1" t="s">
        <v>34</v>
      </c>
      <c r="X41" s="21">
        <v>11</v>
      </c>
      <c r="Y41" s="70" t="str">
        <f t="shared" si="14"/>
        <v/>
      </c>
      <c r="Z41" s="79"/>
      <c r="AA41" s="32" t="str">
        <f t="shared" si="15"/>
        <v/>
      </c>
      <c r="AB41" s="32" t="str">
        <f t="shared" si="16"/>
        <v/>
      </c>
      <c r="AC41" s="32">
        <v>11</v>
      </c>
      <c r="AD41" s="32" t="str">
        <f t="shared" si="17"/>
        <v/>
      </c>
      <c r="AE41" s="32" t="str">
        <f t="shared" si="18"/>
        <v/>
      </c>
      <c r="AF41" s="32" t="str">
        <f t="shared" si="19"/>
        <v/>
      </c>
      <c r="AG41" s="71" t="str">
        <f t="shared" si="20"/>
        <v/>
      </c>
      <c r="AH41" s="70" t="str">
        <f t="shared" si="21"/>
        <v/>
      </c>
      <c r="AI41" s="32" t="str">
        <f t="shared" si="22"/>
        <v/>
      </c>
      <c r="AJ41" s="70" t="str">
        <f t="shared" si="25"/>
        <v/>
      </c>
      <c r="AK41" s="70" t="str">
        <f t="shared" si="23"/>
        <v/>
      </c>
      <c r="AL41" s="32" t="str">
        <f t="shared" si="24"/>
        <v/>
      </c>
      <c r="BE41" s="68" t="s">
        <v>81</v>
      </c>
      <c r="BG41" s="24" t="str">
        <f t="shared" si="13"/>
        <v>วันที่</v>
      </c>
      <c r="CG41" s="35"/>
      <c r="CM41" s="34"/>
      <c r="CN41" s="34"/>
    </row>
    <row r="42" spans="1:92" x14ac:dyDescent="0.2">
      <c r="A42" s="21">
        <f>E40</f>
        <v>42016014</v>
      </c>
      <c r="B42" s="21" t="str">
        <f>D40</f>
        <v>เพื่อเป็นค่าลงทุน</v>
      </c>
      <c r="C42" s="21">
        <f>F40</f>
        <v>234737</v>
      </c>
      <c r="D42" s="21">
        <f>E40</f>
        <v>42016014</v>
      </c>
      <c r="E42" s="21" t="str">
        <f>I40</f>
        <v>6(3)</v>
      </c>
      <c r="F42" s="21">
        <f>L40</f>
        <v>7206</v>
      </c>
      <c r="G42" s="21">
        <f>K40</f>
        <v>80000</v>
      </c>
      <c r="H42" s="21">
        <f>R40</f>
        <v>4802.0010000000002</v>
      </c>
      <c r="I42" s="21">
        <f>P40</f>
        <v>41912</v>
      </c>
      <c r="J42" s="21">
        <f>Q40</f>
        <v>41182</v>
      </c>
      <c r="X42" s="21">
        <v>12</v>
      </c>
      <c r="Y42" s="70" t="str">
        <f t="shared" si="14"/>
        <v/>
      </c>
      <c r="Z42" s="79"/>
      <c r="AA42" s="32" t="str">
        <f t="shared" si="15"/>
        <v/>
      </c>
      <c r="AB42" s="32" t="str">
        <f t="shared" si="16"/>
        <v/>
      </c>
      <c r="AC42" s="32">
        <v>12</v>
      </c>
      <c r="AD42" s="32" t="str">
        <f t="shared" si="17"/>
        <v/>
      </c>
      <c r="AE42" s="32" t="str">
        <f t="shared" si="18"/>
        <v/>
      </c>
      <c r="AF42" s="32" t="str">
        <f t="shared" si="19"/>
        <v/>
      </c>
      <c r="AG42" s="71" t="str">
        <f t="shared" si="20"/>
        <v/>
      </c>
      <c r="AH42" s="70" t="str">
        <f t="shared" si="21"/>
        <v/>
      </c>
      <c r="AI42" s="32" t="str">
        <f t="shared" si="22"/>
        <v/>
      </c>
      <c r="AJ42" s="70" t="str">
        <f t="shared" si="25"/>
        <v/>
      </c>
      <c r="AK42" s="70" t="str">
        <f t="shared" si="23"/>
        <v/>
      </c>
      <c r="AL42" s="32" t="str">
        <f t="shared" si="24"/>
        <v/>
      </c>
      <c r="AY42" s="59"/>
      <c r="AZ42" s="12"/>
      <c r="BA42" s="59"/>
      <c r="BB42" s="64"/>
      <c r="BC42" s="64"/>
      <c r="BD42" s="64"/>
      <c r="BE42" s="68" t="s">
        <v>93</v>
      </c>
      <c r="BF42" s="64"/>
      <c r="BG42" s="24" t="str">
        <f t="shared" si="13"/>
        <v>30-กันยายน</v>
      </c>
      <c r="BH42" s="64"/>
      <c r="BI42" s="41"/>
      <c r="BJ42" s="41"/>
      <c r="BK42" s="41"/>
      <c r="BL42" s="41"/>
      <c r="BM42" s="41"/>
      <c r="BN42" s="20"/>
      <c r="BO42" s="55"/>
      <c r="CG42" s="35"/>
      <c r="CM42" s="34"/>
      <c r="CN42" s="34"/>
    </row>
    <row r="43" spans="1:92" x14ac:dyDescent="0.2">
      <c r="A43" s="21">
        <v>42016014</v>
      </c>
      <c r="B43" s="21" t="s">
        <v>76</v>
      </c>
      <c r="C43" s="21">
        <v>234737</v>
      </c>
      <c r="D43" s="21">
        <v>42016014</v>
      </c>
      <c r="E43" s="21" t="s">
        <v>92</v>
      </c>
      <c r="F43" s="21">
        <v>7206</v>
      </c>
      <c r="G43" s="21">
        <v>80000</v>
      </c>
      <c r="H43" s="21">
        <v>4802.0010000000002</v>
      </c>
      <c r="I43" s="21">
        <v>41912</v>
      </c>
      <c r="J43" s="21">
        <v>41182</v>
      </c>
      <c r="X43" s="21">
        <v>13</v>
      </c>
      <c r="Y43" s="70" t="str">
        <f t="shared" si="14"/>
        <v/>
      </c>
      <c r="Z43" s="79"/>
      <c r="AA43" s="32" t="str">
        <f t="shared" si="15"/>
        <v/>
      </c>
      <c r="AB43" s="32" t="str">
        <f t="shared" si="16"/>
        <v/>
      </c>
      <c r="AC43" s="32">
        <v>13</v>
      </c>
      <c r="AD43" s="32" t="str">
        <f t="shared" si="17"/>
        <v/>
      </c>
      <c r="AE43" s="32" t="str">
        <f t="shared" si="18"/>
        <v/>
      </c>
      <c r="AF43" s="32" t="str">
        <f t="shared" si="19"/>
        <v/>
      </c>
      <c r="AG43" s="71" t="str">
        <f t="shared" si="20"/>
        <v/>
      </c>
      <c r="AH43" s="70" t="str">
        <f t="shared" si="21"/>
        <v/>
      </c>
      <c r="AI43" s="32" t="str">
        <f t="shared" si="22"/>
        <v/>
      </c>
      <c r="AJ43" s="70" t="str">
        <f t="shared" si="25"/>
        <v/>
      </c>
      <c r="AK43" s="70" t="str">
        <f t="shared" si="23"/>
        <v/>
      </c>
      <c r="AL43" s="32" t="str">
        <f t="shared" si="24"/>
        <v/>
      </c>
      <c r="AU43" s="59"/>
      <c r="AV43" s="61"/>
      <c r="AW43" s="59"/>
      <c r="AX43" s="62"/>
      <c r="AY43" s="62"/>
      <c r="AZ43" s="62"/>
      <c r="BA43" s="63"/>
      <c r="BB43" s="59"/>
      <c r="BC43" s="64"/>
      <c r="BD43" s="64"/>
      <c r="BE43" s="68">
        <v>2555</v>
      </c>
      <c r="BF43" s="20"/>
      <c r="BG43" s="24">
        <f t="shared" si="13"/>
        <v>2555</v>
      </c>
      <c r="BK43" s="65"/>
      <c r="BL43" s="49"/>
      <c r="BN43" s="41"/>
      <c r="BO43" s="41"/>
      <c r="BS43" s="125"/>
      <c r="BT43" s="125"/>
      <c r="CG43" s="35"/>
      <c r="CM43" s="34"/>
      <c r="CN43" s="34"/>
    </row>
    <row r="44" spans="1:92" x14ac:dyDescent="0.2">
      <c r="X44" s="21">
        <v>14</v>
      </c>
      <c r="Y44" s="70" t="str">
        <f t="shared" si="14"/>
        <v/>
      </c>
      <c r="Z44" s="79"/>
      <c r="AA44" s="32" t="str">
        <f t="shared" si="15"/>
        <v/>
      </c>
      <c r="AB44" s="32" t="str">
        <f t="shared" si="16"/>
        <v/>
      </c>
      <c r="AC44" s="32">
        <v>14</v>
      </c>
      <c r="AD44" s="32" t="str">
        <f t="shared" si="17"/>
        <v/>
      </c>
      <c r="AE44" s="32" t="str">
        <f t="shared" si="18"/>
        <v/>
      </c>
      <c r="AF44" s="32" t="str">
        <f t="shared" si="19"/>
        <v/>
      </c>
      <c r="AG44" s="71" t="str">
        <f t="shared" si="20"/>
        <v/>
      </c>
      <c r="AH44" s="70" t="str">
        <f t="shared" si="21"/>
        <v/>
      </c>
      <c r="AI44" s="32" t="str">
        <f t="shared" si="22"/>
        <v/>
      </c>
      <c r="AJ44" s="70" t="str">
        <f t="shared" si="25"/>
        <v/>
      </c>
      <c r="AK44" s="70" t="str">
        <f t="shared" si="23"/>
        <v/>
      </c>
      <c r="AL44" s="32" t="str">
        <f t="shared" si="24"/>
        <v/>
      </c>
      <c r="AS44" s="49"/>
      <c r="AU44" s="59"/>
      <c r="AV44" s="129"/>
      <c r="AW44" s="129"/>
      <c r="AX44" s="129"/>
      <c r="AY44" s="130"/>
      <c r="AZ44" s="130"/>
      <c r="BA44" s="67"/>
      <c r="BB44" s="59"/>
      <c r="BC44" s="125"/>
      <c r="BD44" s="125"/>
      <c r="BE44" s="68" t="s">
        <v>94</v>
      </c>
      <c r="BF44" s="53"/>
      <c r="BG44" s="24" t="str">
        <f t="shared" si="13"/>
        <v>ถึงวันที่</v>
      </c>
      <c r="BH44" s="49"/>
      <c r="BI44" s="131"/>
      <c r="BJ44" s="131"/>
      <c r="BK44" s="62"/>
      <c r="BL44" s="49"/>
      <c r="BN44" s="41"/>
      <c r="BO44" s="41"/>
      <c r="CG44" s="35"/>
      <c r="CM44" s="34"/>
      <c r="CN44" s="34"/>
    </row>
    <row r="45" spans="1:92" x14ac:dyDescent="0.2">
      <c r="X45" s="21">
        <v>15</v>
      </c>
      <c r="Y45" s="70" t="str">
        <f t="shared" si="14"/>
        <v/>
      </c>
      <c r="Z45" s="79"/>
      <c r="AA45" s="32" t="str">
        <f t="shared" si="15"/>
        <v/>
      </c>
      <c r="AB45" s="32" t="str">
        <f t="shared" si="16"/>
        <v/>
      </c>
      <c r="AC45" s="32">
        <v>15</v>
      </c>
      <c r="AD45" s="32" t="str">
        <f t="shared" si="17"/>
        <v/>
      </c>
      <c r="AE45" s="32" t="str">
        <f t="shared" si="18"/>
        <v/>
      </c>
      <c r="AF45" s="32" t="str">
        <f t="shared" si="19"/>
        <v/>
      </c>
      <c r="AG45" s="71" t="str">
        <f t="shared" si="20"/>
        <v/>
      </c>
      <c r="AH45" s="70" t="str">
        <f t="shared" si="21"/>
        <v/>
      </c>
      <c r="AI45" s="32" t="str">
        <f t="shared" si="22"/>
        <v/>
      </c>
      <c r="AJ45" s="70" t="str">
        <f t="shared" si="25"/>
        <v/>
      </c>
      <c r="AK45" s="70" t="str">
        <f t="shared" si="23"/>
        <v/>
      </c>
      <c r="AL45" s="32" t="str">
        <f t="shared" si="24"/>
        <v/>
      </c>
      <c r="BE45" s="68" t="s">
        <v>95</v>
      </c>
      <c r="BG45" s="24" t="str">
        <f t="shared" si="13"/>
        <v>30 กันยายน 2559</v>
      </c>
      <c r="CG45" s="35"/>
      <c r="CM45" s="34"/>
      <c r="CN45" s="34"/>
    </row>
    <row r="46" spans="1:92" x14ac:dyDescent="0.2">
      <c r="X46" s="21">
        <v>16</v>
      </c>
      <c r="Y46" s="70" t="str">
        <f t="shared" si="14"/>
        <v/>
      </c>
      <c r="Z46" s="79"/>
      <c r="AA46" s="32" t="str">
        <f t="shared" si="15"/>
        <v/>
      </c>
      <c r="AB46" s="32" t="str">
        <f t="shared" si="16"/>
        <v/>
      </c>
      <c r="AC46" s="32">
        <v>16</v>
      </c>
      <c r="AD46" s="32" t="str">
        <f t="shared" si="17"/>
        <v/>
      </c>
      <c r="AE46" s="32" t="str">
        <f t="shared" si="18"/>
        <v/>
      </c>
      <c r="AF46" s="32" t="str">
        <f t="shared" si="19"/>
        <v/>
      </c>
      <c r="AG46" s="71" t="str">
        <f t="shared" si="20"/>
        <v/>
      </c>
      <c r="AH46" s="70" t="str">
        <f t="shared" si="21"/>
        <v/>
      </c>
      <c r="AI46" s="32" t="str">
        <f t="shared" si="22"/>
        <v/>
      </c>
      <c r="AJ46" s="70" t="str">
        <f t="shared" si="25"/>
        <v/>
      </c>
      <c r="AK46" s="70" t="str">
        <f t="shared" si="23"/>
        <v/>
      </c>
      <c r="AL46" s="32" t="str">
        <f t="shared" si="24"/>
        <v/>
      </c>
      <c r="BE46" s="72" t="s">
        <v>96</v>
      </c>
      <c r="BG46" s="24" t="str">
        <f t="shared" si="13"/>
        <v xml:space="preserve"> ชำระต้นเงิน </v>
      </c>
      <c r="CG46" s="35"/>
      <c r="CM46" s="34"/>
      <c r="CN46" s="34"/>
    </row>
    <row r="47" spans="1:92" x14ac:dyDescent="0.2">
      <c r="X47" s="21">
        <v>17</v>
      </c>
      <c r="Y47" s="70" t="str">
        <f t="shared" si="14"/>
        <v/>
      </c>
      <c r="Z47" s="79"/>
      <c r="AA47" s="32" t="str">
        <f t="shared" si="15"/>
        <v/>
      </c>
      <c r="AB47" s="32" t="str">
        <f t="shared" si="16"/>
        <v/>
      </c>
      <c r="AC47" s="32">
        <v>17</v>
      </c>
      <c r="AD47" s="32" t="str">
        <f t="shared" si="17"/>
        <v/>
      </c>
      <c r="AE47" s="32" t="str">
        <f t="shared" si="18"/>
        <v/>
      </c>
      <c r="AF47" s="32" t="str">
        <f t="shared" si="19"/>
        <v/>
      </c>
      <c r="AG47" s="71" t="str">
        <f t="shared" si="20"/>
        <v/>
      </c>
      <c r="AH47" s="70" t="str">
        <f t="shared" si="21"/>
        <v/>
      </c>
      <c r="AI47" s="32" t="str">
        <f t="shared" si="22"/>
        <v/>
      </c>
      <c r="AJ47" s="70" t="str">
        <f t="shared" si="25"/>
        <v/>
      </c>
      <c r="AK47" s="70" t="str">
        <f t="shared" si="23"/>
        <v/>
      </c>
      <c r="AL47" s="32" t="str">
        <f t="shared" si="24"/>
        <v/>
      </c>
      <c r="BE47" s="68" t="s">
        <v>97</v>
      </c>
      <c r="BG47" s="24" t="str">
        <f t="shared" si="13"/>
        <v>จำนวนงวดละ</v>
      </c>
      <c r="CG47" s="35"/>
      <c r="CM47" s="34"/>
      <c r="CN47" s="34"/>
    </row>
    <row r="48" spans="1:92" x14ac:dyDescent="0.2">
      <c r="A48" s="21" t="str">
        <f>[1]master!C100</f>
        <v>พ.</v>
      </c>
      <c r="F48" s="56"/>
      <c r="H48" s="56"/>
      <c r="X48" s="21">
        <v>18</v>
      </c>
      <c r="Y48" s="70" t="str">
        <f t="shared" si="14"/>
        <v/>
      </c>
      <c r="Z48" s="79"/>
      <c r="AA48" s="32" t="str">
        <f t="shared" si="15"/>
        <v/>
      </c>
      <c r="AB48" s="32" t="str">
        <f t="shared" si="16"/>
        <v/>
      </c>
      <c r="AC48" s="32">
        <v>18</v>
      </c>
      <c r="AD48" s="32" t="str">
        <f t="shared" si="17"/>
        <v/>
      </c>
      <c r="AE48" s="32" t="str">
        <f t="shared" si="18"/>
        <v/>
      </c>
      <c r="AF48" s="32" t="str">
        <f t="shared" si="19"/>
        <v/>
      </c>
      <c r="AG48" s="71" t="str">
        <f t="shared" si="20"/>
        <v/>
      </c>
      <c r="AH48" s="70" t="str">
        <f t="shared" si="21"/>
        <v/>
      </c>
      <c r="AI48" s="32" t="str">
        <f t="shared" si="22"/>
        <v/>
      </c>
      <c r="AJ48" s="70" t="str">
        <f t="shared" si="25"/>
        <v/>
      </c>
      <c r="AK48" s="70" t="str">
        <f t="shared" si="23"/>
        <v/>
      </c>
      <c r="AL48" s="32" t="str">
        <f t="shared" si="24"/>
        <v/>
      </c>
      <c r="BE48" s="72">
        <v>12000</v>
      </c>
      <c r="BG48" s="24">
        <f t="shared" si="13"/>
        <v>12000</v>
      </c>
      <c r="CG48" s="35"/>
      <c r="CM48" s="34"/>
      <c r="CN48" s="34"/>
    </row>
    <row r="49" spans="1:92" x14ac:dyDescent="0.2">
      <c r="A49" s="21" t="s">
        <v>98</v>
      </c>
      <c r="X49" s="21">
        <v>19</v>
      </c>
      <c r="Y49" s="70" t="str">
        <f t="shared" si="14"/>
        <v/>
      </c>
      <c r="Z49" s="79"/>
      <c r="AA49" s="32" t="str">
        <f t="shared" si="15"/>
        <v/>
      </c>
      <c r="AB49" s="32" t="str">
        <f t="shared" si="16"/>
        <v/>
      </c>
      <c r="AC49" s="32">
        <v>19</v>
      </c>
      <c r="AD49" s="32" t="str">
        <f t="shared" si="17"/>
        <v/>
      </c>
      <c r="AE49" s="32" t="str">
        <f t="shared" si="18"/>
        <v/>
      </c>
      <c r="AF49" s="32" t="str">
        <f t="shared" si="19"/>
        <v/>
      </c>
      <c r="AG49" s="71" t="str">
        <f t="shared" si="20"/>
        <v/>
      </c>
      <c r="AH49" s="70" t="str">
        <f t="shared" si="21"/>
        <v/>
      </c>
      <c r="AI49" s="32" t="str">
        <f t="shared" si="22"/>
        <v/>
      </c>
      <c r="AJ49" s="70" t="str">
        <f t="shared" si="25"/>
        <v/>
      </c>
      <c r="AK49" s="70" t="str">
        <f t="shared" si="23"/>
        <v/>
      </c>
      <c r="AL49" s="32" t="str">
        <f t="shared" si="24"/>
        <v/>
      </c>
      <c r="BE49" s="68" t="s">
        <v>99</v>
      </c>
      <c r="BG49" s="24" t="str">
        <f t="shared" si="13"/>
        <v>บาท</v>
      </c>
      <c r="CG49" s="35"/>
      <c r="CM49" s="34"/>
      <c r="CN49" s="34"/>
    </row>
    <row r="50" spans="1:92" x14ac:dyDescent="0.2">
      <c r="A50" s="21" t="str">
        <f>A48&amp;A25</f>
        <v>พ.808</v>
      </c>
      <c r="B50" s="21" t="str">
        <f>IF(B26="","",A48&amp;B26)</f>
        <v>พ.34</v>
      </c>
      <c r="C50" s="21" t="str">
        <f>C25</f>
        <v>นายเจะวานิ ไอซา</v>
      </c>
      <c r="D50" s="21" t="str">
        <f>D25</f>
        <v>เพื่อเป็นค่าลงทุน</v>
      </c>
      <c r="E50" s="21">
        <f>E25</f>
        <v>40028524</v>
      </c>
      <c r="I50" s="21" t="str">
        <f t="shared" ref="I50:R50" si="26">I25</f>
        <v>6(2)</v>
      </c>
      <c r="J50" s="21">
        <f t="shared" si="26"/>
        <v>50000</v>
      </c>
      <c r="K50" s="21">
        <f t="shared" si="26"/>
        <v>50000</v>
      </c>
      <c r="L50" s="21">
        <f t="shared" si="26"/>
        <v>0</v>
      </c>
      <c r="M50" s="21">
        <f t="shared" si="26"/>
        <v>50000</v>
      </c>
      <c r="N50" s="34">
        <f t="shared" si="26"/>
        <v>39994</v>
      </c>
      <c r="O50" s="21">
        <f t="shared" si="26"/>
        <v>6000</v>
      </c>
      <c r="P50" s="34">
        <f t="shared" si="26"/>
        <v>42916</v>
      </c>
      <c r="Q50" s="34">
        <f t="shared" si="26"/>
        <v>41455</v>
      </c>
      <c r="R50" s="73">
        <f t="shared" si="26"/>
        <v>17814.25</v>
      </c>
      <c r="X50" s="21">
        <v>20</v>
      </c>
      <c r="Y50" s="70" t="str">
        <f t="shared" si="14"/>
        <v/>
      </c>
      <c r="Z50" s="79"/>
      <c r="AA50" s="32" t="str">
        <f t="shared" si="15"/>
        <v/>
      </c>
      <c r="AB50" s="32" t="str">
        <f t="shared" si="16"/>
        <v/>
      </c>
      <c r="AC50" s="32">
        <v>20</v>
      </c>
      <c r="AD50" s="32" t="str">
        <f t="shared" si="17"/>
        <v/>
      </c>
      <c r="AE50" s="32" t="str">
        <f t="shared" si="18"/>
        <v/>
      </c>
      <c r="AF50" s="32" t="str">
        <f t="shared" si="19"/>
        <v/>
      </c>
      <c r="AG50" s="71" t="str">
        <f t="shared" si="20"/>
        <v/>
      </c>
      <c r="AH50" s="70" t="str">
        <f t="shared" si="21"/>
        <v/>
      </c>
      <c r="AI50" s="32" t="str">
        <f t="shared" si="22"/>
        <v/>
      </c>
      <c r="AJ50" s="70" t="str">
        <f t="shared" si="25"/>
        <v/>
      </c>
      <c r="AK50" s="70" t="str">
        <f t="shared" si="23"/>
        <v/>
      </c>
      <c r="AL50" s="32" t="str">
        <f t="shared" si="24"/>
        <v/>
      </c>
      <c r="BE50" s="68" t="s">
        <v>100</v>
      </c>
      <c r="BG50" s="24" t="str">
        <f t="shared" si="13"/>
        <v xml:space="preserve"> และงวดที่7วันที่</v>
      </c>
      <c r="CG50" s="35"/>
      <c r="CM50" s="34"/>
      <c r="CN50" s="34"/>
    </row>
    <row r="51" spans="1:92" x14ac:dyDescent="0.2">
      <c r="X51" s="21" t="s">
        <v>14</v>
      </c>
      <c r="Y51" s="21">
        <v>50000</v>
      </c>
      <c r="Z51" s="21">
        <f>SUM(Z31:Z50)</f>
        <v>38000</v>
      </c>
      <c r="AA51" s="74">
        <f>SUM(AA31:AA50)</f>
        <v>50000</v>
      </c>
      <c r="AB51" s="78">
        <f>COUNTIF(AA31:AA50,0)</f>
        <v>0</v>
      </c>
      <c r="AE51" s="78">
        <f>IF(AB51=2,"",AB51)</f>
        <v>0</v>
      </c>
      <c r="AK51" s="21" t="str">
        <f t="shared" ref="AK51" si="27">AI50</f>
        <v/>
      </c>
      <c r="BE51" s="68" t="s">
        <v>93</v>
      </c>
      <c r="BG51" s="24" t="str">
        <f t="shared" si="13"/>
        <v>30-กันยายน</v>
      </c>
      <c r="CG51" s="35"/>
      <c r="CM51" s="34"/>
      <c r="CN51" s="34"/>
    </row>
    <row r="52" spans="1:92" x14ac:dyDescent="0.2">
      <c r="AB52" s="74">
        <f>Z26-AA51</f>
        <v>0</v>
      </c>
      <c r="AC52" s="1" t="s">
        <v>108</v>
      </c>
      <c r="AD52" s="2" t="s">
        <v>2</v>
      </c>
      <c r="AE52" s="74">
        <f>IF(AB51=2,"",AB52)</f>
        <v>0</v>
      </c>
      <c r="AF52" s="1" t="s">
        <v>1</v>
      </c>
      <c r="AG52" s="3" t="s">
        <v>109</v>
      </c>
      <c r="BE52" s="68">
        <v>2560</v>
      </c>
      <c r="BG52" s="24">
        <f t="shared" si="13"/>
        <v>2560</v>
      </c>
      <c r="CG52" s="35"/>
      <c r="CM52" s="34"/>
      <c r="CN52" s="34"/>
    </row>
    <row r="53" spans="1:92" x14ac:dyDescent="0.2">
      <c r="AB53" s="77" t="str">
        <f>IF(AB51=2,AB52/AB51,"")</f>
        <v/>
      </c>
      <c r="AC53" s="77" t="str">
        <f>IF(AB53="","",ROUND(AB53,3))</f>
        <v/>
      </c>
      <c r="AD53" s="73" t="str">
        <f>AC53</f>
        <v/>
      </c>
      <c r="AE53" s="21">
        <f>IF(AE52="","",AE52/3)</f>
        <v>0</v>
      </c>
      <c r="AF53" s="21">
        <f>ROUND(AE53,3)</f>
        <v>0</v>
      </c>
      <c r="AG53" s="21">
        <f>AF53</f>
        <v>0</v>
      </c>
      <c r="BE53" s="75" t="s">
        <v>101</v>
      </c>
      <c r="CG53" s="35"/>
      <c r="CM53" s="34"/>
      <c r="CN53" s="34"/>
    </row>
    <row r="54" spans="1:92" x14ac:dyDescent="0.2">
      <c r="AC54" s="77" t="str">
        <f>IF(AB53="","",AB52-AC53)</f>
        <v/>
      </c>
      <c r="AD54" s="73" t="str">
        <f>AC54</f>
        <v/>
      </c>
      <c r="AE54" s="21">
        <f>IF(AE52="","",IF(AE52-AE53&gt;AE53,AE53,AE52-AE53))</f>
        <v>0</v>
      </c>
      <c r="AF54" s="21">
        <f>IF(AE52="","",IF(AE52-AF53&gt;AF53,AF53,AE52-AF53))</f>
        <v>0</v>
      </c>
      <c r="AG54" s="21">
        <f t="shared" ref="AG54:AG55" si="28">AF54</f>
        <v>0</v>
      </c>
      <c r="BE54" s="75"/>
      <c r="CG54" s="35"/>
      <c r="CM54" s="34"/>
      <c r="CN54" s="34"/>
    </row>
    <row r="55" spans="1:92" x14ac:dyDescent="0.2">
      <c r="AD55" s="73"/>
      <c r="AF55" s="21">
        <f>IF(AE52="","",AE52-(AF53+AF54))</f>
        <v>0</v>
      </c>
      <c r="AG55" s="21">
        <f t="shared" si="28"/>
        <v>0</v>
      </c>
      <c r="BE55" s="76">
        <v>20000</v>
      </c>
      <c r="CG55" s="35"/>
      <c r="CM55" s="34"/>
      <c r="CN55" s="34"/>
    </row>
    <row r="56" spans="1:92" x14ac:dyDescent="0.2">
      <c r="AD56" s="73"/>
      <c r="BE56" s="75" t="s">
        <v>99</v>
      </c>
      <c r="CG56" s="35"/>
      <c r="CM56" s="34"/>
      <c r="CN56" s="34"/>
    </row>
    <row r="57" spans="1:92" x14ac:dyDescent="0.2">
      <c r="AB57" s="21" t="s">
        <v>110</v>
      </c>
      <c r="AD57" s="60"/>
      <c r="BE57" s="75" t="s">
        <v>102</v>
      </c>
      <c r="CG57" s="35"/>
      <c r="CM57" s="34"/>
      <c r="CN57" s="34"/>
    </row>
    <row r="58" spans="1:92" x14ac:dyDescent="0.2">
      <c r="AB58" s="21" t="s">
        <v>111</v>
      </c>
      <c r="AD58" s="60"/>
      <c r="BE58" s="75" t="s">
        <v>93</v>
      </c>
      <c r="CG58" s="35"/>
      <c r="CM58" s="34"/>
      <c r="CN58" s="34"/>
    </row>
    <row r="59" spans="1:92" x14ac:dyDescent="0.2">
      <c r="AD59" s="60"/>
      <c r="BE59" s="75" t="s">
        <v>103</v>
      </c>
      <c r="CG59" s="35"/>
      <c r="CM59" s="34"/>
      <c r="CN59" s="34"/>
    </row>
    <row r="60" spans="1:92" x14ac:dyDescent="0.2">
      <c r="AD60" s="60"/>
      <c r="CG60" s="35"/>
      <c r="CM60" s="34"/>
      <c r="CN60" s="34"/>
    </row>
    <row r="61" spans="1:92" x14ac:dyDescent="0.2">
      <c r="AD61" s="60"/>
      <c r="CG61" s="35"/>
      <c r="CM61" s="34"/>
      <c r="CN61" s="34"/>
    </row>
    <row r="62" spans="1:92" x14ac:dyDescent="0.2">
      <c r="AD62" s="60"/>
      <c r="CG62" s="35"/>
      <c r="CM62" s="34"/>
      <c r="CN62" s="34"/>
    </row>
    <row r="63" spans="1:92" x14ac:dyDescent="0.2">
      <c r="AD63" s="60"/>
      <c r="CG63" s="35"/>
      <c r="CM63" s="34"/>
      <c r="CN63" s="34"/>
    </row>
    <row r="64" spans="1:92" x14ac:dyDescent="0.2">
      <c r="AD64" s="60"/>
      <c r="CG64" s="35"/>
      <c r="CM64" s="34"/>
      <c r="CN64" s="34"/>
    </row>
    <row r="65" spans="30:92" x14ac:dyDescent="0.2">
      <c r="AD65" s="60"/>
      <c r="CG65" s="35"/>
      <c r="CM65" s="34"/>
      <c r="CN65" s="34"/>
    </row>
    <row r="66" spans="30:92" x14ac:dyDescent="0.2">
      <c r="AD66" s="60"/>
      <c r="CG66" s="35"/>
      <c r="CM66" s="34"/>
      <c r="CN66" s="34"/>
    </row>
    <row r="67" spans="30:92" x14ac:dyDescent="0.2">
      <c r="AD67" s="60"/>
      <c r="CG67" s="35"/>
      <c r="CM67" s="34"/>
      <c r="CN67" s="34"/>
    </row>
    <row r="68" spans="30:92" x14ac:dyDescent="0.2">
      <c r="AD68" s="60"/>
      <c r="CG68" s="35"/>
      <c r="CM68" s="34"/>
      <c r="CN68" s="34"/>
    </row>
    <row r="69" spans="30:92" x14ac:dyDescent="0.2">
      <c r="AD69" s="60"/>
      <c r="CG69" s="35"/>
      <c r="CM69" s="34"/>
      <c r="CN69" s="34"/>
    </row>
    <row r="70" spans="30:92" x14ac:dyDescent="0.2">
      <c r="AD70" s="60"/>
      <c r="CG70" s="35"/>
      <c r="CM70" s="34"/>
      <c r="CN70" s="34"/>
    </row>
    <row r="71" spans="30:92" x14ac:dyDescent="0.2">
      <c r="AD71" s="60"/>
      <c r="CG71" s="35"/>
      <c r="CM71" s="34"/>
      <c r="CN71" s="34"/>
    </row>
    <row r="72" spans="30:92" x14ac:dyDescent="0.2">
      <c r="CG72" s="35"/>
      <c r="CM72" s="34"/>
      <c r="CN72" s="34"/>
    </row>
    <row r="73" spans="30:92" x14ac:dyDescent="0.2">
      <c r="CG73" s="35"/>
      <c r="CM73" s="34"/>
      <c r="CN73" s="34"/>
    </row>
    <row r="74" spans="30:92" x14ac:dyDescent="0.2">
      <c r="AO74" s="22" t="s">
        <v>104</v>
      </c>
      <c r="CG74" s="35"/>
      <c r="CM74" s="34"/>
      <c r="CN74" s="34"/>
    </row>
    <row r="75" spans="30:92" x14ac:dyDescent="0.2">
      <c r="AO75" s="22" t="s">
        <v>76</v>
      </c>
      <c r="CG75" s="35"/>
      <c r="CM75" s="34"/>
      <c r="CN75" s="34"/>
    </row>
    <row r="76" spans="30:92" x14ac:dyDescent="0.2">
      <c r="AO76" s="22" t="s">
        <v>105</v>
      </c>
      <c r="CG76" s="35"/>
      <c r="CM76" s="34"/>
      <c r="CN76" s="34"/>
    </row>
    <row r="77" spans="30:92" x14ac:dyDescent="0.2">
      <c r="AO77" s="22" t="s">
        <v>106</v>
      </c>
      <c r="CG77" s="35"/>
      <c r="CM77" s="34"/>
      <c r="CN77" s="34"/>
    </row>
    <row r="78" spans="30:92" x14ac:dyDescent="0.2">
      <c r="AO78" s="22" t="s">
        <v>107</v>
      </c>
      <c r="CG78" s="35"/>
      <c r="CM78" s="34"/>
      <c r="CN78" s="34"/>
    </row>
    <row r="79" spans="30:92" x14ac:dyDescent="0.2">
      <c r="AO79" s="22" t="s">
        <v>77</v>
      </c>
      <c r="CG79" s="35"/>
      <c r="CM79" s="34"/>
      <c r="CN79" s="34"/>
    </row>
    <row r="80" spans="30:92" x14ac:dyDescent="0.2">
      <c r="AO80" s="22" t="s">
        <v>92</v>
      </c>
      <c r="CG80" s="35"/>
      <c r="CM80" s="34"/>
      <c r="CN80" s="34"/>
    </row>
    <row r="81" spans="39:92" x14ac:dyDescent="0.2"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35"/>
      <c r="CM81" s="34"/>
      <c r="CN81" s="34"/>
    </row>
    <row r="82" spans="39:92" x14ac:dyDescent="0.2"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35"/>
      <c r="CM82" s="34"/>
      <c r="CN82" s="34"/>
    </row>
    <row r="83" spans="39:92" x14ac:dyDescent="0.2"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35"/>
      <c r="CM83" s="34"/>
      <c r="CN83" s="34"/>
    </row>
    <row r="84" spans="39:92" x14ac:dyDescent="0.2"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35"/>
      <c r="CM84" s="34"/>
      <c r="CN84" s="34"/>
    </row>
    <row r="85" spans="39:92" x14ac:dyDescent="0.2"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35"/>
      <c r="CM85" s="34"/>
      <c r="CN85" s="34"/>
    </row>
    <row r="86" spans="39:92" x14ac:dyDescent="0.2"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35"/>
      <c r="CM86" s="34"/>
      <c r="CN86" s="34"/>
    </row>
    <row r="87" spans="39:92" x14ac:dyDescent="0.2"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35"/>
      <c r="CM87" s="34"/>
      <c r="CN87" s="34"/>
    </row>
    <row r="88" spans="39:92" x14ac:dyDescent="0.2"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35"/>
      <c r="CM88" s="34"/>
      <c r="CN88" s="34"/>
    </row>
    <row r="89" spans="39:92" x14ac:dyDescent="0.2"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35"/>
      <c r="CM89" s="34"/>
      <c r="CN89" s="34"/>
    </row>
    <row r="90" spans="39:92" x14ac:dyDescent="0.2"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35"/>
      <c r="CM90" s="34"/>
      <c r="CN90" s="34"/>
    </row>
    <row r="91" spans="39:92" x14ac:dyDescent="0.2"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35"/>
      <c r="CM91" s="34"/>
      <c r="CN91" s="34"/>
    </row>
    <row r="92" spans="39:92" x14ac:dyDescent="0.2"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35"/>
      <c r="CM92" s="34"/>
      <c r="CN92" s="34"/>
    </row>
    <row r="93" spans="39:92" x14ac:dyDescent="0.2"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35"/>
      <c r="CM93" s="34"/>
      <c r="CN93" s="34"/>
    </row>
    <row r="94" spans="39:92" x14ac:dyDescent="0.2"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35"/>
      <c r="CM94" s="34"/>
      <c r="CN94" s="34"/>
    </row>
    <row r="95" spans="39:92" x14ac:dyDescent="0.2"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35"/>
      <c r="CM95" s="34"/>
      <c r="CN95" s="34"/>
    </row>
    <row r="96" spans="39:92" x14ac:dyDescent="0.2"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35"/>
      <c r="CM96" s="34"/>
      <c r="CN96" s="34"/>
    </row>
    <row r="97" spans="39:92" x14ac:dyDescent="0.2"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35"/>
      <c r="CM97" s="34"/>
      <c r="CN97" s="34"/>
    </row>
    <row r="98" spans="39:92" x14ac:dyDescent="0.2"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35"/>
      <c r="CM98" s="34"/>
      <c r="CN98" s="34"/>
    </row>
    <row r="99" spans="39:92" x14ac:dyDescent="0.2"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35"/>
      <c r="CM99" s="34"/>
      <c r="CN99" s="34"/>
    </row>
    <row r="100" spans="39:92" x14ac:dyDescent="0.2"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35"/>
      <c r="CM100" s="34"/>
      <c r="CN100" s="34"/>
    </row>
  </sheetData>
  <mergeCells count="156">
    <mergeCell ref="BS38:BT38"/>
    <mergeCell ref="BS43:BT43"/>
    <mergeCell ref="AV44:AX44"/>
    <mergeCell ref="AY44:AZ44"/>
    <mergeCell ref="BC44:BD44"/>
    <mergeCell ref="BI44:BJ44"/>
    <mergeCell ref="BB27:BD27"/>
    <mergeCell ref="BF27:BH27"/>
    <mergeCell ref="BI27:BK27"/>
    <mergeCell ref="BL27:BM27"/>
    <mergeCell ref="BS28:BT28"/>
    <mergeCell ref="BS33:BT33"/>
    <mergeCell ref="AX23:AZ23"/>
    <mergeCell ref="BC23:BE23"/>
    <mergeCell ref="BF23:BG23"/>
    <mergeCell ref="BH23:BJ23"/>
    <mergeCell ref="BS23:BT23"/>
    <mergeCell ref="AV24:AX24"/>
    <mergeCell ref="AY24:AZ24"/>
    <mergeCell ref="BC24:BD24"/>
    <mergeCell ref="BI24:BJ24"/>
    <mergeCell ref="BM19:BP19"/>
    <mergeCell ref="BQ19:BU19"/>
    <mergeCell ref="AS21:AU21"/>
    <mergeCell ref="BB22:BD22"/>
    <mergeCell ref="BF22:BH22"/>
    <mergeCell ref="BI22:BK22"/>
    <mergeCell ref="BL22:BM22"/>
    <mergeCell ref="BH18:BJ18"/>
    <mergeCell ref="BM18:BP18"/>
    <mergeCell ref="BQ18:BU18"/>
    <mergeCell ref="AO19:AQ19"/>
    <mergeCell ref="AR19:AU19"/>
    <mergeCell ref="AV19:AX19"/>
    <mergeCell ref="AY19:BA19"/>
    <mergeCell ref="BB19:BD19"/>
    <mergeCell ref="BE19:BG19"/>
    <mergeCell ref="BH19:BJ19"/>
    <mergeCell ref="AO18:AQ18"/>
    <mergeCell ref="AR18:AU18"/>
    <mergeCell ref="AV18:AX18"/>
    <mergeCell ref="AY18:BA18"/>
    <mergeCell ref="BB18:BD18"/>
    <mergeCell ref="BE18:BG18"/>
    <mergeCell ref="AO17:AQ17"/>
    <mergeCell ref="AR17:AU17"/>
    <mergeCell ref="AV17:AX17"/>
    <mergeCell ref="AY17:BA17"/>
    <mergeCell ref="BB17:BD17"/>
    <mergeCell ref="BE17:BG17"/>
    <mergeCell ref="BH17:BJ17"/>
    <mergeCell ref="BM17:BP17"/>
    <mergeCell ref="BQ17:BU17"/>
    <mergeCell ref="BQ15:BU15"/>
    <mergeCell ref="AO16:AQ16"/>
    <mergeCell ref="AR16:AU16"/>
    <mergeCell ref="AV16:AX16"/>
    <mergeCell ref="AY16:BA16"/>
    <mergeCell ref="BB16:BD16"/>
    <mergeCell ref="BE16:BG16"/>
    <mergeCell ref="BH16:BJ16"/>
    <mergeCell ref="BM16:BP16"/>
    <mergeCell ref="BQ16:BU16"/>
    <mergeCell ref="AR14:AU14"/>
    <mergeCell ref="AY14:BA14"/>
    <mergeCell ref="BM14:BP14"/>
    <mergeCell ref="AO15:AQ15"/>
    <mergeCell ref="AR15:AU15"/>
    <mergeCell ref="AV15:AX15"/>
    <mergeCell ref="AY15:BA15"/>
    <mergeCell ref="BB15:BD15"/>
    <mergeCell ref="BE15:BG15"/>
    <mergeCell ref="BH15:BJ15"/>
    <mergeCell ref="BM15:BP15"/>
    <mergeCell ref="BD13:BF13"/>
    <mergeCell ref="BG13:BI13"/>
    <mergeCell ref="BJ13:BK13"/>
    <mergeCell ref="BL13:BN13"/>
    <mergeCell ref="BO13:BR13"/>
    <mergeCell ref="BS13:BU13"/>
    <mergeCell ref="BG12:BI12"/>
    <mergeCell ref="BJ12:BK12"/>
    <mergeCell ref="BL12:BN12"/>
    <mergeCell ref="BO12:BR12"/>
    <mergeCell ref="BS12:BU12"/>
    <mergeCell ref="BD12:BF12"/>
    <mergeCell ref="AN13:AO13"/>
    <mergeCell ref="AP13:AU13"/>
    <mergeCell ref="AV13:AX13"/>
    <mergeCell ref="AY13:BA13"/>
    <mergeCell ref="BB13:BC13"/>
    <mergeCell ref="AN12:AO12"/>
    <mergeCell ref="AP12:AU12"/>
    <mergeCell ref="AV12:AX12"/>
    <mergeCell ref="AY12:BA12"/>
    <mergeCell ref="BB12:BC12"/>
    <mergeCell ref="BD11:BF11"/>
    <mergeCell ref="BG11:BI11"/>
    <mergeCell ref="BJ11:BK11"/>
    <mergeCell ref="BL11:BN11"/>
    <mergeCell ref="BO11:BR11"/>
    <mergeCell ref="BS11:BU11"/>
    <mergeCell ref="BG10:BI10"/>
    <mergeCell ref="BJ10:BK10"/>
    <mergeCell ref="BL10:BN10"/>
    <mergeCell ref="BO10:BR10"/>
    <mergeCell ref="BS10:BU10"/>
    <mergeCell ref="BD10:BF10"/>
    <mergeCell ref="AN11:AO11"/>
    <mergeCell ref="AP11:AU11"/>
    <mergeCell ref="AV11:AX11"/>
    <mergeCell ref="AY11:BA11"/>
    <mergeCell ref="BB11:BC11"/>
    <mergeCell ref="AN10:AO10"/>
    <mergeCell ref="AP10:AU10"/>
    <mergeCell ref="AV10:AX10"/>
    <mergeCell ref="AY10:BA10"/>
    <mergeCell ref="BB10:BC10"/>
    <mergeCell ref="BC5:BD5"/>
    <mergeCell ref="BE5:BF5"/>
    <mergeCell ref="BH5:BK5"/>
    <mergeCell ref="BD9:BF9"/>
    <mergeCell ref="BG9:BI9"/>
    <mergeCell ref="BJ9:BK9"/>
    <mergeCell ref="BL9:BN9"/>
    <mergeCell ref="BO9:BR9"/>
    <mergeCell ref="BS9:BU9"/>
    <mergeCell ref="BG8:BI8"/>
    <mergeCell ref="BJ8:BK8"/>
    <mergeCell ref="BL8:BN8"/>
    <mergeCell ref="BO8:BR8"/>
    <mergeCell ref="BS8:BU8"/>
    <mergeCell ref="AZ2:BG3"/>
    <mergeCell ref="BT2:BV2"/>
    <mergeCell ref="BT3:BV3"/>
    <mergeCell ref="BH4:BK4"/>
    <mergeCell ref="BN4:BR4"/>
    <mergeCell ref="BT4:BV4"/>
    <mergeCell ref="AN9:AO9"/>
    <mergeCell ref="AP9:AU9"/>
    <mergeCell ref="AV9:AX9"/>
    <mergeCell ref="AY9:BA9"/>
    <mergeCell ref="BB9:BC9"/>
    <mergeCell ref="BN5:BQ5"/>
    <mergeCell ref="BT5:BV5"/>
    <mergeCell ref="BN6:BQ6"/>
    <mergeCell ref="BT6:BV6"/>
    <mergeCell ref="AN8:AO8"/>
    <mergeCell ref="AP8:AU8"/>
    <mergeCell ref="AV8:AX8"/>
    <mergeCell ref="AY8:BA8"/>
    <mergeCell ref="BB8:BC8"/>
    <mergeCell ref="BD8:BF8"/>
    <mergeCell ref="AR5:AX5"/>
    <mergeCell ref="AY5:AZ5"/>
    <mergeCell ref="BA5:BB5"/>
  </mergeCells>
  <conditionalFormatting sqref="BP33:BU34 BF34 BL34:BO34 BN37:BO37 AZ22 BF39 BN22:BO22 BP23:BU24 BF24:BI24 BL24:BO24 AZ27 BN27:BO27 BP28:BU29 AV33:AW33 BF29 BB33:BB34 AV34 BL39:BO39 AV38:AW38 BQ44 BB38:BB39 AV39 BH38:BO38 AV23:AW23 BB23:BB24 AV24 BH23:BO23 BL29:BO29 AV28:AW28 BB28:BB29 AV29 BH28:BO28 BH33:BO33 AZ32 BN32:BO32 BP38:BU39 AZ37 BQ43:BU43 AZ42 BN42:BO42 BP43:BP44 BF44 BL44:BO44 AV43:AW43 BB43:BB44 AV44 BH43:BO43 BH44:BI44 BH29:BI29 BH39:BI39 BH34:BI34">
    <cfRule type="cellIs" dxfId="30" priority="1" stopIfTrue="1" operator="equal">
      <formula>0</formula>
    </cfRule>
  </conditionalFormatting>
  <conditionalFormatting sqref="AN15:AN19">
    <cfRule type="cellIs" dxfId="29" priority="2" stopIfTrue="1" operator="equal">
      <formula>0</formula>
    </cfRule>
  </conditionalFormatting>
  <conditionalFormatting sqref="AR15:AU19">
    <cfRule type="cellIs" dxfId="28" priority="3" stopIfTrue="1" operator="equal">
      <formula>1127</formula>
    </cfRule>
  </conditionalFormatting>
  <conditionalFormatting sqref="BC39:BD39 BC24:BE24 BC29:BD29 BC34:BD34 BC44:BD44">
    <cfRule type="cellIs" dxfId="27" priority="4" stopIfTrue="1" operator="equal">
      <formula>0</formula>
    </cfRule>
    <cfRule type="cellIs" dxfId="26" priority="5" stopIfTrue="1" operator="equal">
      <formula>#VALUE!</formula>
    </cfRule>
  </conditionalFormatting>
  <conditionalFormatting sqref="AN9:BU13">
    <cfRule type="cellIs" dxfId="25" priority="6" stopIfTrue="1" operator="equal">
      <formula>0</formula>
    </cfRule>
  </conditionalFormatting>
  <conditionalFormatting sqref="BC23:BE23">
    <cfRule type="cellIs" dxfId="24" priority="7" stopIfTrue="1" operator="equal">
      <formula>0</formula>
    </cfRule>
    <cfRule type="cellIs" dxfId="23" priority="8" stopIfTrue="1" operator="lessThanOrEqual">
      <formula>$P$22</formula>
    </cfRule>
  </conditionalFormatting>
  <conditionalFormatting sqref="BF23:BG23">
    <cfRule type="cellIs" dxfId="22" priority="9" stopIfTrue="1" operator="equal">
      <formula>$W$22</formula>
    </cfRule>
    <cfRule type="cellIs" dxfId="21" priority="10" stopIfTrue="1" operator="equal">
      <formula>$Z$22</formula>
    </cfRule>
    <cfRule type="cellIs" dxfId="20" priority="11" stopIfTrue="1" operator="equal">
      <formula>0</formula>
    </cfRule>
  </conditionalFormatting>
  <conditionalFormatting sqref="BF28:BG28">
    <cfRule type="cellIs" dxfId="19" priority="12" stopIfTrue="1" operator="equal">
      <formula>$W$27</formula>
    </cfRule>
    <cfRule type="cellIs" dxfId="18" priority="13" stopIfTrue="1" operator="equal">
      <formula>$Z$27</formula>
    </cfRule>
    <cfRule type="cellIs" dxfId="17" priority="14" stopIfTrue="1" operator="equal">
      <formula>0</formula>
    </cfRule>
  </conditionalFormatting>
  <conditionalFormatting sqref="BC28:BE28">
    <cfRule type="cellIs" dxfId="16" priority="15" stopIfTrue="1" operator="equal">
      <formula>0</formula>
    </cfRule>
    <cfRule type="cellIs" dxfId="15" priority="16" stopIfTrue="1" operator="lessThanOrEqual">
      <formula>$P$27</formula>
    </cfRule>
  </conditionalFormatting>
  <conditionalFormatting sqref="BC33:BD33">
    <cfRule type="cellIs" dxfId="14" priority="17" stopIfTrue="1" operator="equal">
      <formula>0</formula>
    </cfRule>
    <cfRule type="cellIs" dxfId="13" priority="18" stopIfTrue="1" operator="lessThanOrEqual">
      <formula>$P$32</formula>
    </cfRule>
  </conditionalFormatting>
  <conditionalFormatting sqref="BC38:BD38">
    <cfRule type="cellIs" dxfId="12" priority="19" stopIfTrue="1" operator="equal">
      <formula>0</formula>
    </cfRule>
    <cfRule type="cellIs" dxfId="11" priority="20" stopIfTrue="1" operator="lessThanOrEqual">
      <formula>$P$37</formula>
    </cfRule>
  </conditionalFormatting>
  <conditionalFormatting sqref="BC43:BD43">
    <cfRule type="cellIs" dxfId="10" priority="21" stopIfTrue="1" operator="equal">
      <formula>0</formula>
    </cfRule>
    <cfRule type="cellIs" dxfId="9" priority="22" stopIfTrue="1" operator="lessThanOrEqual">
      <formula>$P$42</formula>
    </cfRule>
  </conditionalFormatting>
  <conditionalFormatting sqref="BF33">
    <cfRule type="cellIs" dxfId="8" priority="23" stopIfTrue="1" operator="equal">
      <formula>$W$32</formula>
    </cfRule>
    <cfRule type="cellIs" dxfId="7" priority="24" stopIfTrue="1" operator="equal">
      <formula>$Z$32</formula>
    </cfRule>
    <cfRule type="cellIs" dxfId="6" priority="25" stopIfTrue="1" operator="equal">
      <formula>0</formula>
    </cfRule>
  </conditionalFormatting>
  <conditionalFormatting sqref="BF38">
    <cfRule type="cellIs" dxfId="5" priority="26" stopIfTrue="1" operator="equal">
      <formula>$W$37</formula>
    </cfRule>
    <cfRule type="cellIs" dxfId="4" priority="27" stopIfTrue="1" operator="equal">
      <formula>$Z$37</formula>
    </cfRule>
    <cfRule type="cellIs" dxfId="3" priority="28" stopIfTrue="1" operator="equal">
      <formula>0</formula>
    </cfRule>
  </conditionalFormatting>
  <conditionalFormatting sqref="BF43">
    <cfRule type="cellIs" dxfId="2" priority="29" stopIfTrue="1" operator="equal">
      <formula>$W$42</formula>
    </cfRule>
    <cfRule type="cellIs" dxfId="1" priority="30" stopIfTrue="1" operator="equal">
      <formula>$Z$42</formula>
    </cfRule>
    <cfRule type="cellIs" dxfId="0" priority="31" stopIfTrue="1" operator="equal">
      <formula>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35</xdr:col>
                <xdr:colOff>619125</xdr:colOff>
                <xdr:row>27</xdr:row>
                <xdr:rowOff>47625</xdr:rowOff>
              </from>
              <to>
                <xdr:col>37</xdr:col>
                <xdr:colOff>400050</xdr:colOff>
                <xdr:row>29</xdr:row>
                <xdr:rowOff>38100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BAAC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IT-BAAC</dc:creator>
  <cp:lastModifiedBy>Santipong Nasui</cp:lastModifiedBy>
  <dcterms:created xsi:type="dcterms:W3CDTF">2011-09-06T14:42:02Z</dcterms:created>
  <dcterms:modified xsi:type="dcterms:W3CDTF">2011-09-06T15:58:42Z</dcterms:modified>
</cp:coreProperties>
</file>