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480" yWindow="90" windowWidth="27795" windowHeight="12330" tabRatio="55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37" i="1" l="1"/>
  <c r="J37" i="1" s="1"/>
  <c r="I38" i="1"/>
  <c r="J38" i="1" s="1"/>
  <c r="I39" i="1"/>
  <c r="J39" i="1" s="1"/>
  <c r="I40" i="1"/>
  <c r="J40" i="1" s="1"/>
  <c r="H35" i="1"/>
  <c r="I35" i="1" s="1"/>
  <c r="K35" i="1" s="1"/>
  <c r="J35" i="1" l="1"/>
  <c r="I36" i="1"/>
  <c r="K40" i="1"/>
  <c r="K36" i="1"/>
  <c r="N46" i="1"/>
  <c r="K39" i="1" l="1"/>
  <c r="J36" i="1"/>
  <c r="K38" i="1"/>
  <c r="K37" i="1"/>
  <c r="V23" i="1"/>
  <c r="W30" i="1"/>
  <c r="V30" i="1"/>
  <c r="W29" i="1"/>
  <c r="V29" i="1"/>
  <c r="W28" i="1"/>
  <c r="V28" i="1"/>
  <c r="W27" i="1"/>
  <c r="V27" i="1"/>
  <c r="W26" i="1"/>
  <c r="M10" i="1"/>
  <c r="G10" i="1"/>
  <c r="G29" i="1"/>
  <c r="M18" i="1"/>
  <c r="G18" i="1"/>
  <c r="M29" i="1"/>
  <c r="I9" i="1"/>
  <c r="I41" i="1" l="1"/>
  <c r="O40" i="1" s="1"/>
  <c r="W24" i="1"/>
  <c r="W25" i="1" s="1"/>
  <c r="W23" i="1"/>
  <c r="V26" i="1"/>
  <c r="V25" i="1"/>
  <c r="V24" i="1"/>
  <c r="R40" i="1" l="1"/>
  <c r="S40" i="1"/>
  <c r="Q40" i="1"/>
  <c r="P40" i="1"/>
  <c r="O43" i="1"/>
  <c r="O36" i="1"/>
  <c r="O45" i="1"/>
  <c r="O37" i="1"/>
  <c r="O38" i="1"/>
  <c r="O42" i="1"/>
  <c r="O44" i="1"/>
  <c r="O35" i="1"/>
  <c r="O39" i="1"/>
  <c r="O41" i="1"/>
  <c r="P44" i="1"/>
  <c r="S41" i="1" l="1"/>
  <c r="R41" i="1"/>
  <c r="R35" i="1"/>
  <c r="S35" i="1"/>
  <c r="R42" i="1"/>
  <c r="S42" i="1"/>
  <c r="R37" i="1"/>
  <c r="Q36" i="1"/>
  <c r="R36" i="1"/>
  <c r="S36" i="1" s="1"/>
  <c r="S39" i="1"/>
  <c r="R39" i="1"/>
  <c r="Q44" i="1"/>
  <c r="R44" i="1"/>
  <c r="S44" i="1"/>
  <c r="R38" i="1"/>
  <c r="Q45" i="1"/>
  <c r="S45" i="1"/>
  <c r="R45" i="1"/>
  <c r="Q43" i="1"/>
  <c r="S43" i="1"/>
  <c r="R43" i="1"/>
  <c r="P45" i="1"/>
  <c r="P43" i="1"/>
  <c r="P36" i="1"/>
  <c r="Q35" i="1"/>
  <c r="P35" i="1"/>
  <c r="Q38" i="1"/>
  <c r="P38" i="1"/>
  <c r="Q41" i="1"/>
  <c r="P41" i="1"/>
  <c r="Q39" i="1"/>
  <c r="P39" i="1"/>
  <c r="Q42" i="1"/>
  <c r="P42" i="1"/>
  <c r="Q37" i="1"/>
  <c r="P37" i="1"/>
  <c r="S37" i="1" l="1"/>
  <c r="S38" i="1" s="1"/>
</calcChain>
</file>

<file path=xl/sharedStrings.xml><?xml version="1.0" encoding="utf-8"?>
<sst xmlns="http://schemas.openxmlformats.org/spreadsheetml/2006/main" count="56" uniqueCount="42">
  <si>
    <t>เลขที่สัญญา</t>
  </si>
  <si>
    <t>ปี</t>
  </si>
  <si>
    <t>เดือน</t>
  </si>
  <si>
    <t>จำนวนเงิน</t>
  </si>
  <si>
    <t>ขยายระยะเวลาออกไป 3 ปี</t>
  </si>
  <si>
    <t>ตัวเงื่อนไขคือเดือน 5 และปีที่อยู่ถัดจากปีของเดือน5ครับ</t>
  </si>
  <si>
    <t>1.เดือน 4 ทุกอย่างไปเหมือนเดิมครับ</t>
  </si>
  <si>
    <t>2.เดือน 5 จะเริ่มต้นชำระที่ปี 57 แต่เดือนต้องเปลี่ยนจาก 5 เป็นเดือนปกติ ซึ่งผมใช้ค่าMAX หา</t>
  </si>
  <si>
    <t>เดือนปกติ</t>
  </si>
  <si>
    <t>ต้องกระจายเดือน 5 ออกไปโดยเริ่มที่ปี 57 แต่จะออกไปกี่ปีขึ้นอยู่กับปีที่อยู่ถัดจากปีของเดือน5+3</t>
  </si>
  <si>
    <t>3.เงินของเดือน 5 ต้องกระจาย ตามงวดมี่สามารถขยายได้</t>
  </si>
  <si>
    <t>4.ที่เหลือก็ขยายออกไป 3 ปีจากปีเดิม เงินเหมือนเดิมครับ</t>
  </si>
  <si>
    <t>ชุดที่1</t>
  </si>
  <si>
    <t>ชุดที่2</t>
  </si>
  <si>
    <t>ชุดที่3</t>
  </si>
  <si>
    <t>อาจารย์ครับข้อมูลจะมาทีละชุด ต้องการให้แสดงผลที่จุดเดียว โดยครอบคลุมทุกกรณีที่เกิดขึ้น</t>
  </si>
  <si>
    <t>ผมคิดว่าเงื่อนไขที่สำคัญคือปีที่อยู่ถัดจากปีของเดือน</t>
  </si>
  <si>
    <t>เอาปีนั้นมา+3 เราก็จะทราบว่างวดของเดือน 5 จะขยายออกไปกี่งวด</t>
  </si>
  <si>
    <t>ของผมทำมันงงๆครับ เพราะไม่สามารถเอาปีที่อยู่ถัดจากปีของเดือน5มาเป้นหลักได้</t>
  </si>
  <si>
    <t>หาว่าเพิ่มกี่บรรทัด</t>
  </si>
  <si>
    <t>รายการละกี่บรรทัด</t>
  </si>
  <si>
    <t>จำนวนเงินต่อรายการ</t>
  </si>
  <si>
    <t>ข้อมูลเพื่อ Lookup</t>
  </si>
  <si>
    <t>บรรทัดที่</t>
  </si>
  <si>
    <t>รหัส</t>
  </si>
  <si>
    <t>เงิน</t>
  </si>
  <si>
    <t>ผลลัพธ์ที่ต้องการ</t>
  </si>
  <si>
    <t>คอลัมน์ช่วยในการคำนวณ</t>
  </si>
  <si>
    <t>ตัวอย่างการคำนวณเพื่อเลื่อนการชำระหนี้</t>
  </si>
  <si>
    <t>อาจารย์ครับ</t>
  </si>
  <si>
    <t>2.ความสัมพันธุที่สำคัญคือปีของเดือน5 กับปีที่อยู่ถัดไป</t>
  </si>
  <si>
    <t>1.เดือน 5 ต้องเป็นเงื่อนไขที่สำคัญ เพราะเป็นงวดที่ต้องกระจาย โดยเริ่มปี 57</t>
  </si>
  <si>
    <t>ถ้าปีที่อยู่ถัดจากปีเดือน5 เท่ากับปีเดือน5  เดือน 5จะขยายได้แค่ 2 งวด เพราะแต่ละงวดต้องขยายสามปี</t>
  </si>
  <si>
    <t>หรือ</t>
  </si>
  <si>
    <t xml:space="preserve">   ได้แค่ 2 งวด</t>
  </si>
  <si>
    <t>เท่ากัน</t>
  </si>
  <si>
    <t>ไม่เท่ากัน            56</t>
  </si>
  <si>
    <t xml:space="preserve">ได้สาม เพราะปีที่อยู่ใต้ปีเดือน5 ขยาย3ปี = 60 </t>
  </si>
  <si>
    <t>3.ถ้ามีเดือน4 ก็ยกไปเหมือนเดือม เพราะเป็นหนี้ค้าง</t>
  </si>
  <si>
    <t>4.ถ้าถัดจากเดือน5 ว่างเดือน5 ก็ขยายไป 3 ปี 57,58,59</t>
  </si>
  <si>
    <t>5.จำนวนเงินครับต้องเป็นเลขเต็มครับ อีกอันที่ผมทำและอาจารย์ปรับให้เงินยังไม่ได้ครับ เพราะเจออย่างกรณีนี้ มาเป็น 3,325.3333</t>
  </si>
  <si>
    <t>Helper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</si>
</sst>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d\ mmm\ yy"/>
    <numFmt numFmtId="188" formatCode="d\ mmm\ bb"/>
    <numFmt numFmtId="189" formatCode="[$-101041E]d\ mmm\ yy;@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0" tint="-0.34998626667073579"/>
      <name val="Tahoma"/>
      <family val="2"/>
      <charset val="222"/>
      <scheme val="minor"/>
    </font>
    <font>
      <sz val="11"/>
      <color theme="8" tint="0.79998168889431442"/>
      <name val="Tahoma"/>
      <family val="2"/>
      <charset val="222"/>
      <scheme val="minor"/>
    </font>
    <font>
      <b/>
      <sz val="11"/>
      <color theme="8" tint="0.79998168889431442"/>
      <name val="Tahoma"/>
      <family val="2"/>
      <scheme val="minor"/>
    </font>
    <font>
      <sz val="11"/>
      <color theme="8" tint="0.79998168889431442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87" fontId="0" fillId="0" borderId="0" xfId="0" applyNumberFormat="1"/>
    <xf numFmtId="14" fontId="0" fillId="0" borderId="0" xfId="0" applyNumberFormat="1"/>
    <xf numFmtId="188" fontId="0" fillId="0" borderId="0" xfId="0" applyNumberFormat="1"/>
    <xf numFmtId="0" fontId="1" fillId="0" borderId="0" xfId="0" applyFont="1"/>
    <xf numFmtId="189" fontId="0" fillId="0" borderId="0" xfId="0" applyNumberForma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0" borderId="7" xfId="0" applyBorder="1"/>
    <xf numFmtId="0" fontId="0" fillId="0" borderId="8" xfId="0" applyBorder="1"/>
    <xf numFmtId="0" fontId="0" fillId="4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7" borderId="0" xfId="0" applyFont="1" applyFill="1" applyBorder="1"/>
    <xf numFmtId="0" fontId="2" fillId="7" borderId="0" xfId="0" applyFont="1" applyFill="1" applyBorder="1"/>
    <xf numFmtId="0" fontId="4" fillId="7" borderId="0" xfId="0" applyFont="1" applyFill="1" applyBorder="1"/>
    <xf numFmtId="0" fontId="5" fillId="7" borderId="0" xfId="0" applyFont="1" applyFill="1" applyBorder="1"/>
    <xf numFmtId="0" fontId="0" fillId="0" borderId="14" xfId="0" applyBorder="1"/>
    <xf numFmtId="0" fontId="0" fillId="5" borderId="0" xfId="0" applyFill="1" applyBorder="1"/>
    <xf numFmtId="0" fontId="0" fillId="6" borderId="0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8" borderId="0" xfId="0" applyFont="1" applyFill="1" applyAlignment="1">
      <alignment horizontal="centerContinuous"/>
    </xf>
    <xf numFmtId="0" fontId="0" fillId="7" borderId="0" xfId="0" applyFill="1" applyBorder="1"/>
    <xf numFmtId="0" fontId="0" fillId="0" borderId="0" xfId="0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5</xdr:row>
      <xdr:rowOff>114300</xdr:rowOff>
    </xdr:from>
    <xdr:to>
      <xdr:col>10</xdr:col>
      <xdr:colOff>371475</xdr:colOff>
      <xdr:row>5</xdr:row>
      <xdr:rowOff>114300</xdr:rowOff>
    </xdr:to>
    <xdr:cxnSp macro="">
      <xdr:nvCxnSpPr>
        <xdr:cNvPr id="3" name="ลูกศรเชื่อมต่อแบบตรง 2"/>
        <xdr:cNvCxnSpPr/>
      </xdr:nvCxnSpPr>
      <xdr:spPr>
        <a:xfrm>
          <a:off x="3524250" y="1019175"/>
          <a:ext cx="47434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2</xdr:row>
      <xdr:rowOff>95250</xdr:rowOff>
    </xdr:from>
    <xdr:to>
      <xdr:col>10</xdr:col>
      <xdr:colOff>371475</xdr:colOff>
      <xdr:row>4</xdr:row>
      <xdr:rowOff>76200</xdr:rowOff>
    </xdr:to>
    <xdr:cxnSp macro="">
      <xdr:nvCxnSpPr>
        <xdr:cNvPr id="5" name="ลูกศรเชื่อมต่อแบบตรง 4"/>
        <xdr:cNvCxnSpPr/>
      </xdr:nvCxnSpPr>
      <xdr:spPr>
        <a:xfrm flipV="1">
          <a:off x="4924425" y="457200"/>
          <a:ext cx="3343275" cy="3429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3</xdr:row>
      <xdr:rowOff>95250</xdr:rowOff>
    </xdr:from>
    <xdr:to>
      <xdr:col>10</xdr:col>
      <xdr:colOff>276225</xdr:colOff>
      <xdr:row>4</xdr:row>
      <xdr:rowOff>104775</xdr:rowOff>
    </xdr:to>
    <xdr:cxnSp macro="">
      <xdr:nvCxnSpPr>
        <xdr:cNvPr id="7" name="ลูกศรเชื่อมต่อแบบตรง 6"/>
        <xdr:cNvCxnSpPr/>
      </xdr:nvCxnSpPr>
      <xdr:spPr>
        <a:xfrm flipV="1">
          <a:off x="5000625" y="638175"/>
          <a:ext cx="3171825" cy="1905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4</xdr:row>
      <xdr:rowOff>104776</xdr:rowOff>
    </xdr:from>
    <xdr:to>
      <xdr:col>10</xdr:col>
      <xdr:colOff>219075</xdr:colOff>
      <xdr:row>4</xdr:row>
      <xdr:rowOff>114300</xdr:rowOff>
    </xdr:to>
    <xdr:cxnSp macro="">
      <xdr:nvCxnSpPr>
        <xdr:cNvPr id="9" name="ลูกศรเชื่อมต่อแบบตรง 8"/>
        <xdr:cNvCxnSpPr/>
      </xdr:nvCxnSpPr>
      <xdr:spPr>
        <a:xfrm flipV="1">
          <a:off x="4895850" y="828676"/>
          <a:ext cx="3219450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12</xdr:row>
      <xdr:rowOff>104775</xdr:rowOff>
    </xdr:from>
    <xdr:to>
      <xdr:col>10</xdr:col>
      <xdr:colOff>438150</xdr:colOff>
      <xdr:row>12</xdr:row>
      <xdr:rowOff>104775</xdr:rowOff>
    </xdr:to>
    <xdr:cxnSp macro="">
      <xdr:nvCxnSpPr>
        <xdr:cNvPr id="15" name="ลูกศรเชื่อมต่อแบบตรง 14"/>
        <xdr:cNvCxnSpPr/>
      </xdr:nvCxnSpPr>
      <xdr:spPr>
        <a:xfrm>
          <a:off x="3590925" y="2276475"/>
          <a:ext cx="47434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10</xdr:row>
      <xdr:rowOff>85725</xdr:rowOff>
    </xdr:from>
    <xdr:to>
      <xdr:col>10</xdr:col>
      <xdr:colOff>419100</xdr:colOff>
      <xdr:row>11</xdr:row>
      <xdr:rowOff>104775</xdr:rowOff>
    </xdr:to>
    <xdr:cxnSp macro="">
      <xdr:nvCxnSpPr>
        <xdr:cNvPr id="16" name="ลูกศรเชื่อมต่อแบบตรง 15"/>
        <xdr:cNvCxnSpPr/>
      </xdr:nvCxnSpPr>
      <xdr:spPr>
        <a:xfrm flipV="1">
          <a:off x="4810125" y="1895475"/>
          <a:ext cx="3505200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11</xdr:row>
      <xdr:rowOff>66676</xdr:rowOff>
    </xdr:from>
    <xdr:to>
      <xdr:col>10</xdr:col>
      <xdr:colOff>457200</xdr:colOff>
      <xdr:row>11</xdr:row>
      <xdr:rowOff>76200</xdr:rowOff>
    </xdr:to>
    <xdr:cxnSp macro="">
      <xdr:nvCxnSpPr>
        <xdr:cNvPr id="18" name="ลูกศรเชื่อมต่อแบบตรง 17"/>
        <xdr:cNvCxnSpPr/>
      </xdr:nvCxnSpPr>
      <xdr:spPr>
        <a:xfrm>
          <a:off x="4819650" y="2057401"/>
          <a:ext cx="3533775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51</xdr:row>
      <xdr:rowOff>123825</xdr:rowOff>
    </xdr:from>
    <xdr:to>
      <xdr:col>7</xdr:col>
      <xdr:colOff>904875</xdr:colOff>
      <xdr:row>51</xdr:row>
      <xdr:rowOff>123825</xdr:rowOff>
    </xdr:to>
    <xdr:cxnSp macro="">
      <xdr:nvCxnSpPr>
        <xdr:cNvPr id="21" name="ลูกศรเชื่อมต่อแบบตรง 20"/>
        <xdr:cNvCxnSpPr/>
      </xdr:nvCxnSpPr>
      <xdr:spPr>
        <a:xfrm>
          <a:off x="4152900" y="9391650"/>
          <a:ext cx="155257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20</xdr:row>
      <xdr:rowOff>123825</xdr:rowOff>
    </xdr:from>
    <xdr:to>
      <xdr:col>10</xdr:col>
      <xdr:colOff>476250</xdr:colOff>
      <xdr:row>22</xdr:row>
      <xdr:rowOff>85726</xdr:rowOff>
    </xdr:to>
    <xdr:cxnSp macro="">
      <xdr:nvCxnSpPr>
        <xdr:cNvPr id="23" name="ลูกศรเชื่อมต่อแบบตรง 22"/>
        <xdr:cNvCxnSpPr/>
      </xdr:nvCxnSpPr>
      <xdr:spPr>
        <a:xfrm flipV="1">
          <a:off x="4886325" y="3743325"/>
          <a:ext cx="3486150" cy="32385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85725</xdr:rowOff>
    </xdr:from>
    <xdr:to>
      <xdr:col>10</xdr:col>
      <xdr:colOff>552450</xdr:colOff>
      <xdr:row>22</xdr:row>
      <xdr:rowOff>104775</xdr:rowOff>
    </xdr:to>
    <xdr:cxnSp macro="">
      <xdr:nvCxnSpPr>
        <xdr:cNvPr id="25" name="ลูกศรเชื่อมต่อแบบตรง 24"/>
        <xdr:cNvCxnSpPr/>
      </xdr:nvCxnSpPr>
      <xdr:spPr>
        <a:xfrm flipV="1">
          <a:off x="4943475" y="3886200"/>
          <a:ext cx="3505200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47</xdr:row>
      <xdr:rowOff>114300</xdr:rowOff>
    </xdr:from>
    <xdr:to>
      <xdr:col>7</xdr:col>
      <xdr:colOff>990600</xdr:colOff>
      <xdr:row>47</xdr:row>
      <xdr:rowOff>114301</xdr:rowOff>
    </xdr:to>
    <xdr:cxnSp macro="">
      <xdr:nvCxnSpPr>
        <xdr:cNvPr id="26" name="ลูกศรเชื่อมต่อแบบตรง 25"/>
        <xdr:cNvCxnSpPr/>
      </xdr:nvCxnSpPr>
      <xdr:spPr>
        <a:xfrm flipV="1">
          <a:off x="4124325" y="8658225"/>
          <a:ext cx="1666875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47</xdr:row>
      <xdr:rowOff>123827</xdr:rowOff>
    </xdr:from>
    <xdr:to>
      <xdr:col>7</xdr:col>
      <xdr:colOff>990600</xdr:colOff>
      <xdr:row>48</xdr:row>
      <xdr:rowOff>95250</xdr:rowOff>
    </xdr:to>
    <xdr:cxnSp macro="">
      <xdr:nvCxnSpPr>
        <xdr:cNvPr id="19" name="ลูกศรเชื่อมต่อแบบตรง 18"/>
        <xdr:cNvCxnSpPr/>
      </xdr:nvCxnSpPr>
      <xdr:spPr>
        <a:xfrm>
          <a:off x="4114800" y="8667752"/>
          <a:ext cx="1676400" cy="15239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47</xdr:row>
      <xdr:rowOff>0</xdr:rowOff>
    </xdr:from>
    <xdr:to>
      <xdr:col>8</xdr:col>
      <xdr:colOff>276225</xdr:colOff>
      <xdr:row>48</xdr:row>
      <xdr:rowOff>161925</xdr:rowOff>
    </xdr:to>
    <xdr:sp macro="" textlink="">
      <xdr:nvSpPr>
        <xdr:cNvPr id="8" name="วงเล็บปีกกาขวา 7"/>
        <xdr:cNvSpPr/>
      </xdr:nvSpPr>
      <xdr:spPr>
        <a:xfrm>
          <a:off x="6115050" y="8543925"/>
          <a:ext cx="228600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561975</xdr:colOff>
      <xdr:row>46</xdr:row>
      <xdr:rowOff>171450</xdr:rowOff>
    </xdr:from>
    <xdr:to>
      <xdr:col>5</xdr:col>
      <xdr:colOff>466725</xdr:colOff>
      <xdr:row>48</xdr:row>
      <xdr:rowOff>152400</xdr:rowOff>
    </xdr:to>
    <xdr:sp macro="" textlink="">
      <xdr:nvSpPr>
        <xdr:cNvPr id="20" name="วงเล็บปีกกาขวา 19"/>
        <xdr:cNvSpPr/>
      </xdr:nvSpPr>
      <xdr:spPr>
        <a:xfrm>
          <a:off x="3305175" y="8534400"/>
          <a:ext cx="590550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47625</xdr:colOff>
      <xdr:row>48</xdr:row>
      <xdr:rowOff>142875</xdr:rowOff>
    </xdr:from>
    <xdr:to>
      <xdr:col>7</xdr:col>
      <xdr:colOff>914400</xdr:colOff>
      <xdr:row>49</xdr:row>
      <xdr:rowOff>95250</xdr:rowOff>
    </xdr:to>
    <xdr:cxnSp macro="">
      <xdr:nvCxnSpPr>
        <xdr:cNvPr id="11" name="ลูกศรเชื่อมต่อแบบตรง 10"/>
        <xdr:cNvCxnSpPr/>
      </xdr:nvCxnSpPr>
      <xdr:spPr>
        <a:xfrm>
          <a:off x="4162425" y="8867775"/>
          <a:ext cx="1552575" cy="13335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51</xdr:row>
      <xdr:rowOff>123825</xdr:rowOff>
    </xdr:from>
    <xdr:to>
      <xdr:col>7</xdr:col>
      <xdr:colOff>952500</xdr:colOff>
      <xdr:row>52</xdr:row>
      <xdr:rowOff>104775</xdr:rowOff>
    </xdr:to>
    <xdr:cxnSp macro="">
      <xdr:nvCxnSpPr>
        <xdr:cNvPr id="24" name="ลูกศรเชื่อมต่อแบบตรง 23"/>
        <xdr:cNvCxnSpPr/>
      </xdr:nvCxnSpPr>
      <xdr:spPr>
        <a:xfrm>
          <a:off x="4152900" y="9391650"/>
          <a:ext cx="1600200" cy="1619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52</xdr:row>
      <xdr:rowOff>76200</xdr:rowOff>
    </xdr:from>
    <xdr:to>
      <xdr:col>7</xdr:col>
      <xdr:colOff>962025</xdr:colOff>
      <xdr:row>53</xdr:row>
      <xdr:rowOff>85725</xdr:rowOff>
    </xdr:to>
    <xdr:cxnSp macro="">
      <xdr:nvCxnSpPr>
        <xdr:cNvPr id="28" name="ลูกศรเชื่อมต่อแบบตรง 27"/>
        <xdr:cNvCxnSpPr/>
      </xdr:nvCxnSpPr>
      <xdr:spPr>
        <a:xfrm>
          <a:off x="4114800" y="9525000"/>
          <a:ext cx="1647825" cy="19050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53</xdr:row>
      <xdr:rowOff>133350</xdr:rowOff>
    </xdr:from>
    <xdr:to>
      <xdr:col>7</xdr:col>
      <xdr:colOff>1000125</xdr:colOff>
      <xdr:row>54</xdr:row>
      <xdr:rowOff>114300</xdr:rowOff>
    </xdr:to>
    <xdr:cxnSp macro="">
      <xdr:nvCxnSpPr>
        <xdr:cNvPr id="29" name="ลูกศรเชื่อมต่อแบบตรง 28"/>
        <xdr:cNvCxnSpPr/>
      </xdr:nvCxnSpPr>
      <xdr:spPr>
        <a:xfrm>
          <a:off x="4095750" y="9763125"/>
          <a:ext cx="1704975" cy="1619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47</xdr:row>
      <xdr:rowOff>171450</xdr:rowOff>
    </xdr:from>
    <xdr:to>
      <xdr:col>6</xdr:col>
      <xdr:colOff>114300</xdr:colOff>
      <xdr:row>49</xdr:row>
      <xdr:rowOff>142875</xdr:rowOff>
    </xdr:to>
    <xdr:sp macro="" textlink="">
      <xdr:nvSpPr>
        <xdr:cNvPr id="31" name="วงรี 30"/>
        <xdr:cNvSpPr/>
      </xdr:nvSpPr>
      <xdr:spPr>
        <a:xfrm>
          <a:off x="3857625" y="8715375"/>
          <a:ext cx="371475" cy="3333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419100</xdr:colOff>
      <xdr:row>51</xdr:row>
      <xdr:rowOff>133350</xdr:rowOff>
    </xdr:from>
    <xdr:to>
      <xdr:col>6</xdr:col>
      <xdr:colOff>85725</xdr:colOff>
      <xdr:row>53</xdr:row>
      <xdr:rowOff>66675</xdr:rowOff>
    </xdr:to>
    <xdr:sp macro="" textlink="">
      <xdr:nvSpPr>
        <xdr:cNvPr id="32" name="วงรี 31"/>
        <xdr:cNvSpPr/>
      </xdr:nvSpPr>
      <xdr:spPr>
        <a:xfrm>
          <a:off x="3848100" y="9401175"/>
          <a:ext cx="352425" cy="2952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1628775</xdr:colOff>
      <xdr:row>49</xdr:row>
      <xdr:rowOff>123825</xdr:rowOff>
    </xdr:from>
    <xdr:to>
      <xdr:col>11</xdr:col>
      <xdr:colOff>476250</xdr:colOff>
      <xdr:row>51</xdr:row>
      <xdr:rowOff>76200</xdr:rowOff>
    </xdr:to>
    <xdr:cxnSp macro="">
      <xdr:nvCxnSpPr>
        <xdr:cNvPr id="33" name="ลูกศรเชื่อมต่อแบบตรง 32"/>
        <xdr:cNvCxnSpPr/>
      </xdr:nvCxnSpPr>
      <xdr:spPr>
        <a:xfrm>
          <a:off x="8820150" y="9029700"/>
          <a:ext cx="1628775" cy="3143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48</xdr:row>
      <xdr:rowOff>104775</xdr:rowOff>
    </xdr:from>
    <xdr:to>
      <xdr:col>11</xdr:col>
      <xdr:colOff>552450</xdr:colOff>
      <xdr:row>48</xdr:row>
      <xdr:rowOff>104776</xdr:rowOff>
    </xdr:to>
    <xdr:cxnSp macro="">
      <xdr:nvCxnSpPr>
        <xdr:cNvPr id="35" name="ลูกศรเชื่อมต่อแบบตรง 34"/>
        <xdr:cNvCxnSpPr/>
      </xdr:nvCxnSpPr>
      <xdr:spPr>
        <a:xfrm flipV="1">
          <a:off x="8858250" y="8829675"/>
          <a:ext cx="1666875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48</xdr:row>
      <xdr:rowOff>114302</xdr:rowOff>
    </xdr:from>
    <xdr:to>
      <xdr:col>11</xdr:col>
      <xdr:colOff>542925</xdr:colOff>
      <xdr:row>49</xdr:row>
      <xdr:rowOff>76200</xdr:rowOff>
    </xdr:to>
    <xdr:cxnSp macro="">
      <xdr:nvCxnSpPr>
        <xdr:cNvPr id="36" name="ลูกศรเชื่อมต่อแบบตรง 35"/>
        <xdr:cNvCxnSpPr/>
      </xdr:nvCxnSpPr>
      <xdr:spPr>
        <a:xfrm>
          <a:off x="8886825" y="8839202"/>
          <a:ext cx="1628775" cy="14287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48</xdr:row>
      <xdr:rowOff>95252</xdr:rowOff>
    </xdr:from>
    <xdr:to>
      <xdr:col>11</xdr:col>
      <xdr:colOff>561975</xdr:colOff>
      <xdr:row>50</xdr:row>
      <xdr:rowOff>95250</xdr:rowOff>
    </xdr:to>
    <xdr:cxnSp macro="">
      <xdr:nvCxnSpPr>
        <xdr:cNvPr id="38" name="ลูกศรเชื่อมต่อแบบตรง 37"/>
        <xdr:cNvCxnSpPr/>
      </xdr:nvCxnSpPr>
      <xdr:spPr>
        <a:xfrm>
          <a:off x="8867775" y="8820152"/>
          <a:ext cx="1666875" cy="36194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952500</xdr:colOff>
      <xdr:row>48</xdr:row>
      <xdr:rowOff>9525</xdr:rowOff>
    </xdr:from>
    <xdr:to>
      <xdr:col>9</xdr:col>
      <xdr:colOff>1543050</xdr:colOff>
      <xdr:row>49</xdr:row>
      <xdr:rowOff>171450</xdr:rowOff>
    </xdr:to>
    <xdr:sp macro="" textlink="">
      <xdr:nvSpPr>
        <xdr:cNvPr id="40" name="วงเล็บปีกกาขวา 39"/>
        <xdr:cNvSpPr/>
      </xdr:nvSpPr>
      <xdr:spPr>
        <a:xfrm>
          <a:off x="8143875" y="8734425"/>
          <a:ext cx="590550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1323975</xdr:colOff>
      <xdr:row>48</xdr:row>
      <xdr:rowOff>152400</xdr:rowOff>
    </xdr:from>
    <xdr:to>
      <xdr:col>10</xdr:col>
      <xdr:colOff>57150</xdr:colOff>
      <xdr:row>50</xdr:row>
      <xdr:rowOff>123825</xdr:rowOff>
    </xdr:to>
    <xdr:sp macro="" textlink="">
      <xdr:nvSpPr>
        <xdr:cNvPr id="41" name="วงรี 40"/>
        <xdr:cNvSpPr/>
      </xdr:nvSpPr>
      <xdr:spPr>
        <a:xfrm>
          <a:off x="8515350" y="8877300"/>
          <a:ext cx="371475" cy="3333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1362075</xdr:colOff>
      <xdr:row>52</xdr:row>
      <xdr:rowOff>152400</xdr:rowOff>
    </xdr:from>
    <xdr:to>
      <xdr:col>10</xdr:col>
      <xdr:colOff>57150</xdr:colOff>
      <xdr:row>54</xdr:row>
      <xdr:rowOff>66675</xdr:rowOff>
    </xdr:to>
    <xdr:sp macro="" textlink="">
      <xdr:nvSpPr>
        <xdr:cNvPr id="42" name="วงรี 41"/>
        <xdr:cNvSpPr/>
      </xdr:nvSpPr>
      <xdr:spPr>
        <a:xfrm>
          <a:off x="8553450" y="9601200"/>
          <a:ext cx="333375" cy="2762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457200</xdr:colOff>
      <xdr:row>51</xdr:row>
      <xdr:rowOff>171449</xdr:rowOff>
    </xdr:from>
    <xdr:to>
      <xdr:col>12</xdr:col>
      <xdr:colOff>66675</xdr:colOff>
      <xdr:row>53</xdr:row>
      <xdr:rowOff>57150</xdr:rowOff>
    </xdr:to>
    <xdr:sp macro="" textlink="">
      <xdr:nvSpPr>
        <xdr:cNvPr id="43" name="วงรี 42"/>
        <xdr:cNvSpPr/>
      </xdr:nvSpPr>
      <xdr:spPr>
        <a:xfrm>
          <a:off x="10429875" y="9439274"/>
          <a:ext cx="295275" cy="24765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28575</xdr:colOff>
      <xdr:row>52</xdr:row>
      <xdr:rowOff>104775</xdr:rowOff>
    </xdr:from>
    <xdr:to>
      <xdr:col>11</xdr:col>
      <xdr:colOff>466725</xdr:colOff>
      <xdr:row>52</xdr:row>
      <xdr:rowOff>114300</xdr:rowOff>
    </xdr:to>
    <xdr:cxnSp macro="">
      <xdr:nvCxnSpPr>
        <xdr:cNvPr id="45" name="ลูกศรเชื่อมต่อแบบตรง 44"/>
        <xdr:cNvCxnSpPr/>
      </xdr:nvCxnSpPr>
      <xdr:spPr>
        <a:xfrm>
          <a:off x="8858250" y="9553575"/>
          <a:ext cx="1581150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52</xdr:row>
      <xdr:rowOff>104775</xdr:rowOff>
    </xdr:from>
    <xdr:to>
      <xdr:col>11</xdr:col>
      <xdr:colOff>457200</xdr:colOff>
      <xdr:row>53</xdr:row>
      <xdr:rowOff>104775</xdr:rowOff>
    </xdr:to>
    <xdr:cxnSp macro="">
      <xdr:nvCxnSpPr>
        <xdr:cNvPr id="47" name="ลูกศรเชื่อมต่อแบบตรง 46"/>
        <xdr:cNvCxnSpPr/>
      </xdr:nvCxnSpPr>
      <xdr:spPr>
        <a:xfrm>
          <a:off x="8839200" y="9553575"/>
          <a:ext cx="1590675" cy="1809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52</xdr:row>
      <xdr:rowOff>104775</xdr:rowOff>
    </xdr:from>
    <xdr:to>
      <xdr:col>11</xdr:col>
      <xdr:colOff>485775</xdr:colOff>
      <xdr:row>54</xdr:row>
      <xdr:rowOff>114300</xdr:rowOff>
    </xdr:to>
    <xdr:cxnSp macro="">
      <xdr:nvCxnSpPr>
        <xdr:cNvPr id="49" name="ลูกศรเชื่อมต่อแบบตรง 48"/>
        <xdr:cNvCxnSpPr/>
      </xdr:nvCxnSpPr>
      <xdr:spPr>
        <a:xfrm>
          <a:off x="8839200" y="9553575"/>
          <a:ext cx="1619250" cy="3714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53</xdr:row>
      <xdr:rowOff>133350</xdr:rowOff>
    </xdr:from>
    <xdr:to>
      <xdr:col>11</xdr:col>
      <xdr:colOff>485775</xdr:colOff>
      <xdr:row>55</xdr:row>
      <xdr:rowOff>85725</xdr:rowOff>
    </xdr:to>
    <xdr:cxnSp macro="">
      <xdr:nvCxnSpPr>
        <xdr:cNvPr id="52" name="ลูกศรเชื่อมต่อแบบตรง 51"/>
        <xdr:cNvCxnSpPr/>
      </xdr:nvCxnSpPr>
      <xdr:spPr>
        <a:xfrm>
          <a:off x="8829675" y="9763125"/>
          <a:ext cx="1628775" cy="3143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54</xdr:row>
      <xdr:rowOff>123825</xdr:rowOff>
    </xdr:from>
    <xdr:to>
      <xdr:col>11</xdr:col>
      <xdr:colOff>504825</xdr:colOff>
      <xdr:row>56</xdr:row>
      <xdr:rowOff>76200</xdr:rowOff>
    </xdr:to>
    <xdr:cxnSp macro="">
      <xdr:nvCxnSpPr>
        <xdr:cNvPr id="53" name="ลูกศรเชื่อมต่อแบบตรง 52"/>
        <xdr:cNvCxnSpPr/>
      </xdr:nvCxnSpPr>
      <xdr:spPr>
        <a:xfrm>
          <a:off x="8848725" y="9934575"/>
          <a:ext cx="1628775" cy="3143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48</xdr:row>
      <xdr:rowOff>76200</xdr:rowOff>
    </xdr:from>
    <xdr:to>
      <xdr:col>12</xdr:col>
      <xdr:colOff>190500</xdr:colOff>
      <xdr:row>50</xdr:row>
      <xdr:rowOff>171450</xdr:rowOff>
    </xdr:to>
    <xdr:sp macro="" textlink="">
      <xdr:nvSpPr>
        <xdr:cNvPr id="54" name="วงเล็บปีกกาขวา 53"/>
        <xdr:cNvSpPr/>
      </xdr:nvSpPr>
      <xdr:spPr>
        <a:xfrm>
          <a:off x="10687050" y="8801100"/>
          <a:ext cx="161925" cy="4572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W60"/>
  <sheetViews>
    <sheetView tabSelected="1" topLeftCell="A22" workbookViewId="0">
      <selection activeCell="A35" sqref="A35"/>
    </sheetView>
  </sheetViews>
  <sheetFormatPr defaultRowHeight="14.25" x14ac:dyDescent="0.2"/>
  <cols>
    <col min="8" max="8" width="16.625" customWidth="1"/>
    <col min="9" max="9" width="14.75" bestFit="1" customWidth="1"/>
    <col min="10" max="10" width="21.5" bestFit="1" customWidth="1"/>
    <col min="11" max="11" width="15" bestFit="1" customWidth="1"/>
    <col min="19" max="19" width="10.375" bestFit="1" customWidth="1"/>
    <col min="20" max="20" width="10.25" bestFit="1" customWidth="1"/>
    <col min="21" max="21" width="9.625" bestFit="1" customWidth="1"/>
    <col min="22" max="22" width="12.5" customWidth="1"/>
  </cols>
  <sheetData>
    <row r="1" spans="3:16" x14ac:dyDescent="0.2">
      <c r="K1" t="s">
        <v>1</v>
      </c>
      <c r="L1" t="s">
        <v>2</v>
      </c>
      <c r="M1" t="s">
        <v>3</v>
      </c>
    </row>
    <row r="2" spans="3:16" x14ac:dyDescent="0.2">
      <c r="K2">
        <v>56</v>
      </c>
      <c r="L2">
        <v>4</v>
      </c>
      <c r="M2">
        <v>12000</v>
      </c>
      <c r="O2" t="s">
        <v>5</v>
      </c>
    </row>
    <row r="3" spans="3:16" x14ac:dyDescent="0.2">
      <c r="C3" t="s">
        <v>12</v>
      </c>
      <c r="D3" t="s">
        <v>0</v>
      </c>
      <c r="E3" t="s">
        <v>1</v>
      </c>
      <c r="F3" t="s">
        <v>2</v>
      </c>
      <c r="G3" t="s">
        <v>3</v>
      </c>
      <c r="K3">
        <v>57</v>
      </c>
      <c r="L3">
        <v>6</v>
      </c>
      <c r="M3">
        <v>2000</v>
      </c>
    </row>
    <row r="4" spans="3:16" x14ac:dyDescent="0.2">
      <c r="C4">
        <v>1</v>
      </c>
      <c r="D4">
        <v>40028524</v>
      </c>
      <c r="E4">
        <v>56</v>
      </c>
      <c r="F4">
        <v>4</v>
      </c>
      <c r="G4">
        <v>12000</v>
      </c>
      <c r="K4">
        <v>58</v>
      </c>
      <c r="L4">
        <v>6</v>
      </c>
      <c r="M4">
        <v>2000</v>
      </c>
      <c r="O4" t="s">
        <v>6</v>
      </c>
    </row>
    <row r="5" spans="3:16" x14ac:dyDescent="0.2">
      <c r="C5">
        <v>2</v>
      </c>
      <c r="D5">
        <v>40028524</v>
      </c>
      <c r="E5">
        <v>56</v>
      </c>
      <c r="F5" s="1">
        <v>5</v>
      </c>
      <c r="G5">
        <v>6000</v>
      </c>
      <c r="K5">
        <v>59</v>
      </c>
      <c r="L5">
        <v>6</v>
      </c>
      <c r="M5">
        <v>2000</v>
      </c>
      <c r="O5" t="s">
        <v>7</v>
      </c>
    </row>
    <row r="6" spans="3:16" s="2" customFormat="1" x14ac:dyDescent="0.2">
      <c r="C6" s="2">
        <v>3</v>
      </c>
      <c r="D6" s="2">
        <v>40028524</v>
      </c>
      <c r="E6" s="2">
        <v>57</v>
      </c>
      <c r="F6" s="2">
        <v>6</v>
      </c>
      <c r="G6" s="2">
        <v>6000</v>
      </c>
      <c r="J6" s="2" t="s">
        <v>4</v>
      </c>
      <c r="K6" s="2">
        <v>60</v>
      </c>
      <c r="L6" s="2">
        <v>6</v>
      </c>
      <c r="M6" s="2">
        <v>6000</v>
      </c>
      <c r="O6" s="2" t="s">
        <v>9</v>
      </c>
    </row>
    <row r="7" spans="3:16" x14ac:dyDescent="0.2">
      <c r="C7">
        <v>4</v>
      </c>
      <c r="D7">
        <v>40028524</v>
      </c>
      <c r="E7">
        <v>58</v>
      </c>
      <c r="F7">
        <v>6</v>
      </c>
      <c r="G7">
        <v>6000</v>
      </c>
      <c r="K7">
        <v>61</v>
      </c>
      <c r="L7">
        <v>6</v>
      </c>
      <c r="M7">
        <v>6000</v>
      </c>
      <c r="O7" t="s">
        <v>10</v>
      </c>
    </row>
    <row r="8" spans="3:16" x14ac:dyDescent="0.2">
      <c r="C8">
        <v>5</v>
      </c>
      <c r="D8">
        <v>40028524</v>
      </c>
      <c r="E8">
        <v>59</v>
      </c>
      <c r="F8">
        <v>6</v>
      </c>
      <c r="G8">
        <v>6000</v>
      </c>
      <c r="I8" t="s">
        <v>8</v>
      </c>
      <c r="K8">
        <v>62</v>
      </c>
      <c r="L8">
        <v>6</v>
      </c>
      <c r="M8">
        <v>6000</v>
      </c>
      <c r="O8" t="s">
        <v>11</v>
      </c>
    </row>
    <row r="9" spans="3:16" x14ac:dyDescent="0.2">
      <c r="C9">
        <v>6</v>
      </c>
      <c r="D9">
        <v>40028524</v>
      </c>
      <c r="E9">
        <v>60</v>
      </c>
      <c r="F9">
        <v>6</v>
      </c>
      <c r="G9">
        <v>14000</v>
      </c>
      <c r="I9">
        <f>MAX(F4:F9)</f>
        <v>6</v>
      </c>
      <c r="K9">
        <v>63</v>
      </c>
      <c r="L9">
        <v>6</v>
      </c>
      <c r="M9">
        <v>14000</v>
      </c>
    </row>
    <row r="10" spans="3:16" x14ac:dyDescent="0.2">
      <c r="G10" s="3">
        <f>SUM(G4:G9)</f>
        <v>50000</v>
      </c>
      <c r="M10" s="3">
        <f>SUM(M2:M9)</f>
        <v>50000</v>
      </c>
    </row>
    <row r="11" spans="3:16" x14ac:dyDescent="0.2">
      <c r="K11">
        <v>57</v>
      </c>
      <c r="L11">
        <v>6</v>
      </c>
      <c r="M11">
        <v>6000</v>
      </c>
      <c r="O11" t="s">
        <v>15</v>
      </c>
    </row>
    <row r="12" spans="3:16" x14ac:dyDescent="0.2">
      <c r="C12" t="s">
        <v>13</v>
      </c>
      <c r="D12">
        <v>40028524</v>
      </c>
      <c r="E12">
        <v>56</v>
      </c>
      <c r="F12" s="1">
        <v>5</v>
      </c>
      <c r="G12">
        <v>12000</v>
      </c>
      <c r="K12">
        <v>58</v>
      </c>
      <c r="L12">
        <v>6</v>
      </c>
      <c r="M12">
        <v>6000</v>
      </c>
    </row>
    <row r="13" spans="3:16" s="2" customFormat="1" x14ac:dyDescent="0.2">
      <c r="C13" s="2">
        <v>2</v>
      </c>
      <c r="D13" s="2">
        <v>40028524</v>
      </c>
      <c r="E13" s="2">
        <v>56</v>
      </c>
      <c r="F13" s="2">
        <v>6</v>
      </c>
      <c r="G13" s="2">
        <v>6000</v>
      </c>
      <c r="K13" s="2">
        <v>59</v>
      </c>
      <c r="L13" s="2">
        <v>6</v>
      </c>
      <c r="M13" s="2">
        <v>6000</v>
      </c>
    </row>
    <row r="14" spans="3:16" x14ac:dyDescent="0.2">
      <c r="C14">
        <v>3</v>
      </c>
      <c r="D14">
        <v>40028524</v>
      </c>
      <c r="E14">
        <v>57</v>
      </c>
      <c r="F14">
        <v>6</v>
      </c>
      <c r="G14">
        <v>6000</v>
      </c>
      <c r="K14">
        <v>60</v>
      </c>
      <c r="L14">
        <v>6</v>
      </c>
      <c r="M14">
        <v>6000</v>
      </c>
      <c r="P14" t="s">
        <v>16</v>
      </c>
    </row>
    <row r="15" spans="3:16" x14ac:dyDescent="0.2">
      <c r="C15">
        <v>4</v>
      </c>
      <c r="D15">
        <v>40028524</v>
      </c>
      <c r="E15">
        <v>58</v>
      </c>
      <c r="F15">
        <v>6</v>
      </c>
      <c r="G15">
        <v>6000</v>
      </c>
      <c r="K15">
        <v>61</v>
      </c>
      <c r="L15">
        <v>6</v>
      </c>
      <c r="M15">
        <v>6000</v>
      </c>
      <c r="P15" t="s">
        <v>17</v>
      </c>
    </row>
    <row r="16" spans="3:16" x14ac:dyDescent="0.2">
      <c r="C16">
        <v>5</v>
      </c>
      <c r="D16">
        <v>40028524</v>
      </c>
      <c r="E16">
        <v>59</v>
      </c>
      <c r="F16">
        <v>6</v>
      </c>
      <c r="G16">
        <v>6000</v>
      </c>
      <c r="K16">
        <v>62</v>
      </c>
      <c r="L16">
        <v>6</v>
      </c>
      <c r="M16">
        <v>6000</v>
      </c>
      <c r="P16" t="s">
        <v>18</v>
      </c>
    </row>
    <row r="17" spans="2:23" x14ac:dyDescent="0.2">
      <c r="C17">
        <v>6</v>
      </c>
      <c r="D17">
        <v>40028524</v>
      </c>
      <c r="E17">
        <v>60</v>
      </c>
      <c r="F17">
        <v>6</v>
      </c>
      <c r="G17">
        <v>14000</v>
      </c>
      <c r="K17">
        <v>63</v>
      </c>
      <c r="L17">
        <v>6</v>
      </c>
      <c r="M17">
        <v>14000</v>
      </c>
    </row>
    <row r="18" spans="2:23" x14ac:dyDescent="0.2">
      <c r="G18" s="3">
        <f>SUM(G12:G17)</f>
        <v>50000</v>
      </c>
      <c r="M18" s="3">
        <f>SUM(M11:M17)</f>
        <v>50000</v>
      </c>
      <c r="R18" s="1">
        <v>9</v>
      </c>
      <c r="T18" s="4">
        <v>239721</v>
      </c>
      <c r="U18" s="5">
        <v>239751</v>
      </c>
      <c r="V18">
        <v>3</v>
      </c>
    </row>
    <row r="19" spans="2:23" x14ac:dyDescent="0.2">
      <c r="T19" s="4"/>
      <c r="U19" s="5"/>
    </row>
    <row r="20" spans="2:23" x14ac:dyDescent="0.2">
      <c r="T20" s="4">
        <v>239782</v>
      </c>
      <c r="U20" s="5">
        <v>239782</v>
      </c>
      <c r="V20" s="6"/>
    </row>
    <row r="21" spans="2:23" x14ac:dyDescent="0.2">
      <c r="J21">
        <v>1</v>
      </c>
      <c r="K21">
        <v>57</v>
      </c>
      <c r="L21">
        <v>6</v>
      </c>
      <c r="M21">
        <v>4000</v>
      </c>
      <c r="P21" s="7" t="s">
        <v>1</v>
      </c>
      <c r="Q21">
        <v>2500</v>
      </c>
      <c r="T21" s="5"/>
    </row>
    <row r="22" spans="2:23" x14ac:dyDescent="0.2">
      <c r="J22">
        <v>2</v>
      </c>
      <c r="K22">
        <v>58</v>
      </c>
      <c r="L22">
        <v>6</v>
      </c>
      <c r="M22">
        <v>4000</v>
      </c>
    </row>
    <row r="23" spans="2:23" x14ac:dyDescent="0.2">
      <c r="C23" t="s">
        <v>14</v>
      </c>
      <c r="D23">
        <v>40028524</v>
      </c>
      <c r="E23">
        <v>56</v>
      </c>
      <c r="F23" s="1">
        <v>5</v>
      </c>
      <c r="G23">
        <v>12000</v>
      </c>
      <c r="J23">
        <v>3</v>
      </c>
      <c r="K23">
        <v>59</v>
      </c>
      <c r="L23">
        <v>6</v>
      </c>
      <c r="M23">
        <v>4000</v>
      </c>
      <c r="S23" s="5"/>
      <c r="T23" s="5">
        <v>239721</v>
      </c>
      <c r="U23">
        <v>12000</v>
      </c>
      <c r="V23" s="8">
        <f>IF(T23=T18,T18,IF(R18=1,U18,U20))</f>
        <v>239721</v>
      </c>
      <c r="W23">
        <f>IF(R18=1,U23,IF(T23=U18,U23/2,U23))</f>
        <v>12000</v>
      </c>
    </row>
    <row r="24" spans="2:23" s="2" customFormat="1" x14ac:dyDescent="0.2">
      <c r="C24" s="2">
        <v>2</v>
      </c>
      <c r="D24" s="2">
        <v>40028524</v>
      </c>
      <c r="E24" s="2">
        <v>57</v>
      </c>
      <c r="F24" s="2">
        <v>6</v>
      </c>
      <c r="G24" s="2">
        <v>6000</v>
      </c>
      <c r="J24" s="2">
        <v>4</v>
      </c>
      <c r="K24" s="2">
        <v>60</v>
      </c>
      <c r="L24" s="2">
        <v>6</v>
      </c>
      <c r="M24" s="2">
        <v>6000</v>
      </c>
      <c r="P24"/>
      <c r="Q24"/>
      <c r="R24"/>
      <c r="S24"/>
      <c r="T24" s="5">
        <v>239752</v>
      </c>
      <c r="U24">
        <v>6000</v>
      </c>
      <c r="V24" s="8">
        <f>IF(T24="","",IF(R18=1,T24,IF(T24&lt;&gt;U18,DATE(YEAR(U20)+1,MONTH(U20)+1,0),U20)))</f>
        <v>240147</v>
      </c>
      <c r="W24">
        <f>IF(T23=T18,U24-U25,IF(T23=U18,U23-W23,IF(T24=U18,U24-(U25+U26),U24)))</f>
        <v>0</v>
      </c>
    </row>
    <row r="25" spans="2:23" x14ac:dyDescent="0.2">
      <c r="C25">
        <v>3</v>
      </c>
      <c r="D25">
        <v>40028524</v>
      </c>
      <c r="E25">
        <v>58</v>
      </c>
      <c r="F25">
        <v>6</v>
      </c>
      <c r="G25">
        <v>6000</v>
      </c>
      <c r="J25">
        <v>5</v>
      </c>
      <c r="K25">
        <v>61</v>
      </c>
      <c r="L25">
        <v>6</v>
      </c>
      <c r="M25">
        <v>6000</v>
      </c>
      <c r="T25" s="5">
        <v>240147</v>
      </c>
      <c r="U25">
        <v>6000</v>
      </c>
      <c r="V25" s="8">
        <f>IF(T24="","",IF(T25="","",IF(R18=1,"",IF(T24&lt;&gt;U18,DATE(YEAR(T24)+V18,MONTH(T24)+1,0),DATE(YEAR(U20)+1,MONTH(U20)+1,0)))))</f>
        <v>240847</v>
      </c>
      <c r="W25">
        <f>IF(T23=T18,U24-W24,IF(T23=U18,U25,IF(U24=U18,U25+U26,U25)))</f>
        <v>6000</v>
      </c>
    </row>
    <row r="26" spans="2:23" x14ac:dyDescent="0.2">
      <c r="C26">
        <v>4</v>
      </c>
      <c r="D26">
        <v>40028524</v>
      </c>
      <c r="E26">
        <v>59</v>
      </c>
      <c r="F26">
        <v>6</v>
      </c>
      <c r="G26">
        <v>6000</v>
      </c>
      <c r="J26">
        <v>6</v>
      </c>
      <c r="K26">
        <v>62</v>
      </c>
      <c r="L26">
        <v>6</v>
      </c>
      <c r="M26">
        <v>6000</v>
      </c>
      <c r="T26" s="5">
        <v>240512</v>
      </c>
      <c r="U26">
        <v>6000</v>
      </c>
      <c r="V26" s="8">
        <f>IF(T24="","",IF(T25="","",IF(R18=1,"",IF(T25&lt;&gt;U18,DATE(YEAR(T25)+V18,MONTH(T25)+1,0),DATE(YEAR(U20)+1,MONTH(U20)+1,0)))))</f>
        <v>241243</v>
      </c>
      <c r="W26">
        <f>U25</f>
        <v>6000</v>
      </c>
    </row>
    <row r="27" spans="2:23" x14ac:dyDescent="0.2">
      <c r="C27">
        <v>5</v>
      </c>
      <c r="D27">
        <v>40028524</v>
      </c>
      <c r="E27">
        <v>60</v>
      </c>
      <c r="F27">
        <v>6</v>
      </c>
      <c r="G27">
        <v>6000</v>
      </c>
      <c r="J27">
        <v>7</v>
      </c>
      <c r="K27">
        <v>63</v>
      </c>
      <c r="L27">
        <v>6</v>
      </c>
      <c r="M27">
        <v>6000</v>
      </c>
      <c r="T27" s="5">
        <v>240877</v>
      </c>
      <c r="U27">
        <v>6000</v>
      </c>
      <c r="V27" s="8">
        <f>IF(T26&lt;&gt;"",DATE(YEAR(T26)+V18,MONTH(T26)+1,0),"")</f>
        <v>241608</v>
      </c>
      <c r="W27">
        <f t="shared" ref="W27:W30" si="0">U26</f>
        <v>6000</v>
      </c>
    </row>
    <row r="28" spans="2:23" x14ac:dyDescent="0.2">
      <c r="C28">
        <v>6</v>
      </c>
      <c r="D28">
        <v>40028524</v>
      </c>
      <c r="E28">
        <v>61</v>
      </c>
      <c r="F28">
        <v>6</v>
      </c>
      <c r="G28">
        <v>14000</v>
      </c>
      <c r="J28">
        <v>8</v>
      </c>
      <c r="K28">
        <v>64</v>
      </c>
      <c r="L28">
        <v>6</v>
      </c>
      <c r="M28">
        <v>14000</v>
      </c>
      <c r="T28" s="5">
        <v>241243</v>
      </c>
      <c r="U28">
        <v>14000</v>
      </c>
      <c r="V28" s="8">
        <f t="shared" ref="V28:V30" si="1">IF(T27&lt;&gt;"",DATE(YEAR(T27)+V19,MONTH(T27)+1,0),"")</f>
        <v>240877</v>
      </c>
      <c r="W28">
        <f t="shared" si="0"/>
        <v>6000</v>
      </c>
    </row>
    <row r="29" spans="2:23" x14ac:dyDescent="0.2">
      <c r="G29" s="3">
        <f>SUM(G23:G28)</f>
        <v>50000</v>
      </c>
      <c r="M29" s="3">
        <f>SUM(M21:M28)</f>
        <v>50000</v>
      </c>
      <c r="V29" s="8">
        <f t="shared" si="1"/>
        <v>241243</v>
      </c>
      <c r="W29">
        <f t="shared" si="0"/>
        <v>14000</v>
      </c>
    </row>
    <row r="30" spans="2:23" x14ac:dyDescent="0.2">
      <c r="V30" s="6" t="str">
        <f t="shared" si="1"/>
        <v/>
      </c>
      <c r="W30">
        <f t="shared" si="0"/>
        <v>0</v>
      </c>
    </row>
    <row r="31" spans="2:23" ht="15" thickBot="1" x14ac:dyDescent="0.25">
      <c r="B31" s="36" t="s">
        <v>28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</row>
    <row r="32" spans="2:23" x14ac:dyDescent="0.2"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4"/>
    </row>
    <row r="33" spans="2:21" x14ac:dyDescent="0.2">
      <c r="B33" s="25"/>
      <c r="C33" s="14"/>
      <c r="D33" s="14"/>
      <c r="E33" s="14"/>
      <c r="F33" s="14"/>
      <c r="G33" s="14"/>
      <c r="H33" s="26" t="s">
        <v>27</v>
      </c>
      <c r="I33" s="27"/>
      <c r="J33" s="27"/>
      <c r="K33" s="27"/>
      <c r="L33" s="28" t="s">
        <v>26</v>
      </c>
      <c r="M33" s="37"/>
      <c r="N33" s="37"/>
      <c r="O33" s="28" t="s">
        <v>26</v>
      </c>
      <c r="P33" s="29"/>
      <c r="Q33" s="29"/>
      <c r="R33" s="29"/>
      <c r="S33" s="29"/>
      <c r="T33" s="30"/>
      <c r="U33" t="s">
        <v>41</v>
      </c>
    </row>
    <row r="34" spans="2:21" x14ac:dyDescent="0.2">
      <c r="B34" s="25"/>
      <c r="C34" s="10"/>
      <c r="D34" s="11" t="s">
        <v>0</v>
      </c>
      <c r="E34" s="11" t="s">
        <v>1</v>
      </c>
      <c r="F34" s="11" t="s">
        <v>2</v>
      </c>
      <c r="G34" s="12" t="s">
        <v>3</v>
      </c>
      <c r="H34" s="31" t="s">
        <v>19</v>
      </c>
      <c r="I34" s="31" t="s">
        <v>20</v>
      </c>
      <c r="J34" s="31" t="s">
        <v>21</v>
      </c>
      <c r="K34" s="31" t="s">
        <v>22</v>
      </c>
      <c r="L34">
        <v>40014235</v>
      </c>
      <c r="M34">
        <v>56</v>
      </c>
      <c r="N34">
        <v>9976</v>
      </c>
      <c r="O34" s="31" t="s">
        <v>23</v>
      </c>
      <c r="P34" s="31" t="s">
        <v>24</v>
      </c>
      <c r="Q34" s="31" t="s">
        <v>1</v>
      </c>
      <c r="R34" s="31" t="s">
        <v>2</v>
      </c>
      <c r="S34" s="31" t="s">
        <v>25</v>
      </c>
      <c r="T34" s="30"/>
    </row>
    <row r="35" spans="2:21" x14ac:dyDescent="0.2">
      <c r="B35" s="25"/>
      <c r="C35" s="13">
        <v>1</v>
      </c>
      <c r="D35">
        <v>40028524</v>
      </c>
      <c r="E35">
        <v>56</v>
      </c>
      <c r="F35">
        <v>4</v>
      </c>
      <c r="G35">
        <v>12000</v>
      </c>
      <c r="H35" s="32">
        <f>4-(MATCH(57,E35:E40)-MATCH(5,F35:F40,0))-ISNA(MATCH(57,E35:E40,0))</f>
        <v>3</v>
      </c>
      <c r="I35" s="32">
        <f>IF(F35="","",IF(F35=5,$H$35,1))</f>
        <v>1</v>
      </c>
      <c r="J35" s="32">
        <f>IF(I35="","",ROUND(G35/I35,0))</f>
        <v>12000</v>
      </c>
      <c r="K35" s="32">
        <f>IF(I35="","",SUM(I$35:I35)-I35+1)</f>
        <v>1</v>
      </c>
      <c r="L35">
        <v>40014235</v>
      </c>
      <c r="M35">
        <v>57</v>
      </c>
      <c r="N35">
        <v>3300</v>
      </c>
      <c r="O35" s="32">
        <f>IF(ROWS($O$35:O35)&gt;$I$41,"",ROWS($O$35:O35))</f>
        <v>1</v>
      </c>
      <c r="P35" s="32">
        <f>IF($O35="","",LOOKUP($O35,$K$35:$K$40,D$35:D$40))</f>
        <v>40028524</v>
      </c>
      <c r="Q35" s="32">
        <f>IF($O35="","",$E$35-MATCH(5,$F$35:$F$40,0)+O35+1)</f>
        <v>56</v>
      </c>
      <c r="R35" s="32">
        <f>IF($O35="","",IF(AND(F35="",O35&lt;&gt;""),6,LOOKUP(9.99999999999999E+307,F$35:F35)))</f>
        <v>4</v>
      </c>
      <c r="S35" s="32">
        <f>IF($O35="","",IF(COUNTIF(R$35:R35,"&gt;=5")=$H$35,INDEX($G$35:$G$41,MATCH(5,$F$35:$F$41,0))-SUMIF(R$34:R34,"&gt;=5",S$34:S34),LOOKUP($O35,$K$35:$K$40,J$35:J$40)))</f>
        <v>12000</v>
      </c>
      <c r="T35" s="30"/>
    </row>
    <row r="36" spans="2:21" x14ac:dyDescent="0.2">
      <c r="B36" s="25"/>
      <c r="C36" s="13">
        <v>2</v>
      </c>
      <c r="D36">
        <v>40028524</v>
      </c>
      <c r="E36">
        <v>56</v>
      </c>
      <c r="F36">
        <v>5</v>
      </c>
      <c r="G36">
        <v>1111</v>
      </c>
      <c r="H36" s="32"/>
      <c r="I36" s="32">
        <f t="shared" ref="I36:I40" si="2">IF(F36="","",IF(F36=5,$H$35,1))</f>
        <v>3</v>
      </c>
      <c r="J36" s="32">
        <f t="shared" ref="J36:J40" si="3">IF(I36="","",ROUND(G36/I36,0))</f>
        <v>370</v>
      </c>
      <c r="K36" s="32">
        <f>IF(I36="","",SUM(I$35:I36)-I36+1)</f>
        <v>2</v>
      </c>
      <c r="L36">
        <v>40014235</v>
      </c>
      <c r="M36">
        <v>58</v>
      </c>
      <c r="N36" s="14">
        <v>3300</v>
      </c>
      <c r="O36" s="32">
        <f>IF(ROWS($O$35:O36)&gt;$I$41,"",ROWS($O$35:O36))</f>
        <v>2</v>
      </c>
      <c r="P36" s="32">
        <f t="shared" ref="P36:P42" si="4">IF($O36="","",LOOKUP($O36,$K$35:$K$40,D$35:D$40))</f>
        <v>40028524</v>
      </c>
      <c r="Q36" s="32">
        <f t="shared" ref="Q36:Q45" si="5">IF($O36="","",$E$35-MATCH(5,$F$35:$F$40,0)+O36+1)</f>
        <v>57</v>
      </c>
      <c r="R36" s="32">
        <f>IF($O36="","",IF(AND(F36="",O36&lt;&gt;""),6,LOOKUP(9.99999999999999E+307,F$35:F36)))</f>
        <v>5</v>
      </c>
      <c r="S36" s="32">
        <f>IF($O36="","",IF(COUNTIF(R$35:R36,"&gt;=5")=$H$35,INDEX($G$35:$G$41,MATCH(5,$F$35:$F$41,0))-SUMIF(R$34:R35,"&gt;=5",S$34:S35),LOOKUP($O36,$K$35:$K$40,J$35:J$40)))</f>
        <v>370</v>
      </c>
      <c r="T36" s="30"/>
    </row>
    <row r="37" spans="2:21" x14ac:dyDescent="0.2">
      <c r="B37" s="25"/>
      <c r="C37" s="16"/>
      <c r="D37" s="17"/>
      <c r="E37" s="17"/>
      <c r="F37" s="17"/>
      <c r="G37" s="18"/>
      <c r="H37" s="32"/>
      <c r="I37" s="32" t="str">
        <f t="shared" si="2"/>
        <v/>
      </c>
      <c r="J37" s="32" t="str">
        <f t="shared" si="3"/>
        <v/>
      </c>
      <c r="K37" s="32" t="str">
        <f>IF(I37="","",SUM(I$35:I37)-I37+1)</f>
        <v/>
      </c>
      <c r="L37">
        <v>40014235</v>
      </c>
      <c r="M37">
        <v>59</v>
      </c>
      <c r="N37" s="38">
        <v>3424</v>
      </c>
      <c r="O37" s="32">
        <f>IF(ROWS($O$35:O37)&gt;$I$41,"",ROWS($O$35:O37))</f>
        <v>3</v>
      </c>
      <c r="P37" s="32">
        <f t="shared" si="4"/>
        <v>40028524</v>
      </c>
      <c r="Q37" s="32">
        <f t="shared" si="5"/>
        <v>58</v>
      </c>
      <c r="R37" s="32">
        <f>IF($O37="","",IF(AND(F37="",O37&lt;&gt;""),6,LOOKUP(9.99999999999999E+307,F$35:F37)))</f>
        <v>6</v>
      </c>
      <c r="S37" s="32">
        <f>IF($O37="","",IF(COUNTIF(R$35:R37,"&gt;=5")=$H$35,INDEX($G$35:$G$41,MATCH(5,$F$35:$F$41,0))-SUMIF(R$34:R36,"&gt;=5",S$34:S36),LOOKUP($O37,$K$35:$K$40,J$35:J$40)))</f>
        <v>370</v>
      </c>
      <c r="T37" s="30"/>
    </row>
    <row r="38" spans="2:21" x14ac:dyDescent="0.2">
      <c r="B38" s="25"/>
      <c r="C38" s="13"/>
      <c r="D38" s="14"/>
      <c r="E38" s="14"/>
      <c r="F38" s="14"/>
      <c r="G38" s="15"/>
      <c r="H38" s="32"/>
      <c r="I38" s="32" t="str">
        <f t="shared" si="2"/>
        <v/>
      </c>
      <c r="J38" s="32" t="str">
        <f t="shared" si="3"/>
        <v/>
      </c>
      <c r="K38" s="32" t="str">
        <f>IF(I38="","",SUM(I$35:I38)-I38+1)</f>
        <v/>
      </c>
      <c r="L38" s="14"/>
      <c r="M38" s="14"/>
      <c r="N38" s="14"/>
      <c r="O38" s="32">
        <f>IF(ROWS($O$35:O38)&gt;$I$41,"",ROWS($O$35:O38))</f>
        <v>4</v>
      </c>
      <c r="P38" s="32">
        <f t="shared" si="4"/>
        <v>40028524</v>
      </c>
      <c r="Q38" s="32">
        <f t="shared" si="5"/>
        <v>59</v>
      </c>
      <c r="R38" s="32">
        <f>IF($O38="","",IF(AND(F38="",O38&lt;&gt;""),6,LOOKUP(9.99999999999999E+307,F$35:F38)))</f>
        <v>6</v>
      </c>
      <c r="S38" s="32">
        <f>IF($O38="","",IF(COUNTIF(R$35:R38,"&gt;=5")=$H$35,INDEX($G$35:$G$41,MATCH(5,$F$35:$F$41,0))-SUMIF(R$34:R37,"&gt;=5",S$34:S37),LOOKUP($O38,$K$35:$K$40,J$35:J$40)))</f>
        <v>371</v>
      </c>
      <c r="T38" s="30"/>
    </row>
    <row r="39" spans="2:21" x14ac:dyDescent="0.2">
      <c r="B39" s="25"/>
      <c r="C39" s="13"/>
      <c r="D39" s="14"/>
      <c r="E39" s="14"/>
      <c r="F39" s="14"/>
      <c r="G39" s="15"/>
      <c r="H39" s="32"/>
      <c r="I39" s="32" t="str">
        <f t="shared" si="2"/>
        <v/>
      </c>
      <c r="J39" s="32" t="str">
        <f t="shared" si="3"/>
        <v/>
      </c>
      <c r="K39" s="32" t="str">
        <f>IF(I39="","",SUM(I$35:I39)-I39+1)</f>
        <v/>
      </c>
      <c r="L39" s="14"/>
      <c r="M39" s="14"/>
      <c r="N39" s="14"/>
      <c r="O39" s="32" t="str">
        <f>IF(ROWS($O$35:O39)&gt;$I$41,"",ROWS($O$35:O39))</f>
        <v/>
      </c>
      <c r="P39" s="32" t="str">
        <f t="shared" si="4"/>
        <v/>
      </c>
      <c r="Q39" s="32" t="str">
        <f t="shared" si="5"/>
        <v/>
      </c>
      <c r="R39" s="32" t="str">
        <f>IF($O39="","",IF(AND(F39="",O39&lt;&gt;""),6,LOOKUP(9.99999999999999E+307,F$35:F39)))</f>
        <v/>
      </c>
      <c r="S39" s="32" t="str">
        <f>IF($O39="","",IF(COUNTIF(R$35:R39,"&gt;=5")=$H$35,INDEX($G$35:$G$41,MATCH(5,$F$35:$F$41,0))-SUMIF(R$34:R38,"&gt;=5",S$34:S38),LOOKUP($O39,$K$35:$K$40,J$35:J$40)))</f>
        <v/>
      </c>
      <c r="T39" s="30"/>
    </row>
    <row r="40" spans="2:21" x14ac:dyDescent="0.2">
      <c r="B40" s="25"/>
      <c r="C40" s="13"/>
      <c r="D40" s="14"/>
      <c r="E40" s="14"/>
      <c r="F40" s="14"/>
      <c r="G40" s="15"/>
      <c r="H40" s="32"/>
      <c r="I40" s="32" t="str">
        <f t="shared" si="2"/>
        <v/>
      </c>
      <c r="J40" s="32" t="str">
        <f t="shared" si="3"/>
        <v/>
      </c>
      <c r="K40" s="32" t="str">
        <f>IF(I40="","",SUM(I$35:I40)-I40+1)</f>
        <v/>
      </c>
      <c r="L40" s="14"/>
      <c r="M40" s="14"/>
      <c r="N40" s="14"/>
      <c r="O40" s="32" t="str">
        <f>IF(ROWS($O$35:O40)&gt;$I$41,"",ROWS($O$35:O40))</f>
        <v/>
      </c>
      <c r="P40" s="32" t="str">
        <f t="shared" si="4"/>
        <v/>
      </c>
      <c r="Q40" s="32" t="str">
        <f t="shared" si="5"/>
        <v/>
      </c>
      <c r="R40" s="32" t="str">
        <f>IF($O40="","",IF(AND(F40="",O40&lt;&gt;""),6,LOOKUP(9.99999999999999E+307,F$35:F40)))</f>
        <v/>
      </c>
      <c r="S40" s="32" t="str">
        <f>IF($O40="","",IF(COUNTIF(R$35:R40,"&gt;=5")=$H$35,INDEX($G$35:$G$41,MATCH(5,$F$35:$F$41,0))-SUMIF(R$34:R39,"&gt;=5",S$34:S39),LOOKUP($O40,$K$35:$K$40,J$35:J$40)))</f>
        <v/>
      </c>
      <c r="T40" s="30"/>
    </row>
    <row r="41" spans="2:21" ht="15" thickBot="1" x14ac:dyDescent="0.25">
      <c r="B41" s="25"/>
      <c r="C41" s="19"/>
      <c r="D41" s="20"/>
      <c r="E41" s="20"/>
      <c r="F41" s="20"/>
      <c r="G41" s="21"/>
      <c r="H41" s="14"/>
      <c r="I41" s="9">
        <f>SUM(I35:I40)</f>
        <v>4</v>
      </c>
      <c r="J41" s="14"/>
      <c r="K41" s="14"/>
      <c r="L41" s="14"/>
      <c r="M41" s="14"/>
      <c r="N41" s="14"/>
      <c r="O41" s="32" t="str">
        <f>IF(ROWS($O$35:O41)&gt;$I$41,"",ROWS($O$35:O41))</f>
        <v/>
      </c>
      <c r="P41" s="32" t="str">
        <f t="shared" si="4"/>
        <v/>
      </c>
      <c r="Q41" s="32" t="str">
        <f t="shared" si="5"/>
        <v/>
      </c>
      <c r="R41" s="32" t="str">
        <f>IF($O41="","",IF(AND(F41="",O41&lt;&gt;""),6,LOOKUP(9.99999999999999E+307,F$35:F41)))</f>
        <v/>
      </c>
      <c r="S41" s="32" t="str">
        <f>IF($O41="","",IF(COUNTIF(R$35:R41,"&gt;=5")=$H$35,INDEX($G$35:$G$41,MATCH(5,$F$35:$F$41,0))-SUMIF(R$34:R40,"&gt;=5",S$34:S40),LOOKUP($O41,$K$35:$K$40,J$35:J$40)))</f>
        <v/>
      </c>
      <c r="T41" s="30"/>
    </row>
    <row r="42" spans="2:21" ht="15" thickTop="1" x14ac:dyDescent="0.2">
      <c r="B42" s="25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32" t="str">
        <f>IF(ROWS($O$35:O42)&gt;$I$41,"",ROWS($O$35:O42))</f>
        <v/>
      </c>
      <c r="P42" s="32" t="str">
        <f t="shared" si="4"/>
        <v/>
      </c>
      <c r="Q42" s="32" t="str">
        <f t="shared" si="5"/>
        <v/>
      </c>
      <c r="R42" s="32" t="str">
        <f>IF($O42="","",IF(AND(F42="",O42&lt;&gt;""),6,LOOKUP(9.99999999999999E+307,F$35:F42)))</f>
        <v/>
      </c>
      <c r="S42" s="32" t="str">
        <f>IF($O42="","",IF(COUNTIF(R$35:R42,"&gt;=5")=$H$35,INDEX($G$35:$G$41,MATCH(5,$F$35:$F$41,0))-SUMIF(R$34:R41,"&gt;=5",S$34:S41),LOOKUP($O42,$K$35:$K$40,J$35:J$40)))</f>
        <v/>
      </c>
      <c r="T42" s="30"/>
    </row>
    <row r="43" spans="2:21" x14ac:dyDescent="0.2">
      <c r="B43" s="25"/>
      <c r="C43" s="14"/>
      <c r="D43" s="14"/>
      <c r="E43" s="14"/>
      <c r="F43" s="14"/>
      <c r="G43" s="14" t="s">
        <v>29</v>
      </c>
      <c r="H43" s="14"/>
      <c r="I43" s="14"/>
      <c r="J43" s="14"/>
      <c r="K43" s="14"/>
      <c r="L43" s="14"/>
      <c r="M43" s="14"/>
      <c r="N43" s="14"/>
      <c r="O43" s="32" t="str">
        <f>IF(ROWS($O$35:O43)&gt;$I$41,"",ROWS($O$35:O43))</f>
        <v/>
      </c>
      <c r="P43" s="32" t="str">
        <f>IF($O43="","",LOOKUP($O43,$K$35:$K$40,D$35:D$40))</f>
        <v/>
      </c>
      <c r="Q43" s="32" t="str">
        <f t="shared" si="5"/>
        <v/>
      </c>
      <c r="R43" s="32" t="str">
        <f>IF($O43="","",IF(AND(F43="",O43&lt;&gt;""),6,LOOKUP(9.99999999999999E+307,F$35:F43)))</f>
        <v/>
      </c>
      <c r="S43" s="32" t="str">
        <f>IF($O43="","",IF(COUNTIF(R$35:R43,"&gt;=5")=$H$35,INDEX($G$35:$G$41,MATCH(5,$F$35:$F$41,0))-SUMIF(R$34:R42,"&gt;=5",S$34:S42),LOOKUP($O43,$K$35:$K$40,J$35:J$40)))</f>
        <v/>
      </c>
      <c r="T43" s="30"/>
    </row>
    <row r="44" spans="2:21" x14ac:dyDescent="0.2">
      <c r="B44" s="25"/>
      <c r="C44" s="14"/>
      <c r="D44" s="14"/>
      <c r="E44" s="14"/>
      <c r="F44" s="14"/>
      <c r="G44" s="14" t="s">
        <v>31</v>
      </c>
      <c r="H44" s="14"/>
      <c r="I44" s="14"/>
      <c r="J44" s="14"/>
      <c r="K44" s="14"/>
      <c r="L44" s="14"/>
      <c r="M44" s="14"/>
      <c r="N44" s="14"/>
      <c r="O44" s="32" t="str">
        <f>IF(ROWS($O$35:O44)&gt;$I$41,"",ROWS($O$35:O44))</f>
        <v/>
      </c>
      <c r="P44" s="32" t="str">
        <f t="shared" ref="P44:P45" si="6">IF($O44="","",LOOKUP($O44,$K$35:$K$40,D$35:D$40))</f>
        <v/>
      </c>
      <c r="Q44" s="32" t="str">
        <f t="shared" si="5"/>
        <v/>
      </c>
      <c r="R44" s="32" t="str">
        <f>IF($O44="","",IF(AND(F44="",O44&lt;&gt;""),6,LOOKUP(9.99999999999999E+307,F$35:F44)))</f>
        <v/>
      </c>
      <c r="S44" s="32" t="str">
        <f>IF($O44="","",IF(COUNTIF(R$35:R44,"&gt;=5")=$H$35,INDEX($G$35:$G$41,MATCH(5,$F$35:$F$41,0))-SUMIF(R$34:R43,"&gt;=5",S$34:S43),LOOKUP($O44,$K$35:$K$40,J$35:J$40)))</f>
        <v/>
      </c>
      <c r="T44" s="30"/>
    </row>
    <row r="45" spans="2:21" x14ac:dyDescent="0.2">
      <c r="B45" s="25"/>
      <c r="C45" s="14"/>
      <c r="D45" s="14"/>
      <c r="E45" s="14"/>
      <c r="F45" s="14"/>
      <c r="G45" s="14" t="s">
        <v>30</v>
      </c>
      <c r="H45" s="14"/>
      <c r="I45" s="14"/>
      <c r="J45" s="14"/>
      <c r="K45" s="14"/>
      <c r="L45" s="14"/>
      <c r="M45" s="14"/>
      <c r="N45" s="14"/>
      <c r="O45" s="32" t="str">
        <f>IF(ROWS($O$35:O45)&gt;$I$41,"",ROWS($O$35:O45))</f>
        <v/>
      </c>
      <c r="P45" s="32" t="str">
        <f t="shared" si="6"/>
        <v/>
      </c>
      <c r="Q45" s="32" t="str">
        <f t="shared" si="5"/>
        <v/>
      </c>
      <c r="R45" s="32" t="str">
        <f>IF($O45="","",IF(AND(F45="",O45&lt;&gt;""),6,LOOKUP(9.99999999999999E+307,F$35:F45)))</f>
        <v/>
      </c>
      <c r="S45" s="32" t="str">
        <f>IF($O45="","",IF(COUNTIF(R$35:R45,"&gt;=5")=$H$35,INDEX($G$35:$G$41,MATCH(5,$F$35:$F$41,0))-SUMIF(R$34:R44,"&gt;=5",S$34:S44),LOOKUP($O45,$K$35:$K$40,J$35:J$40)))</f>
        <v/>
      </c>
      <c r="T45" s="30"/>
    </row>
    <row r="46" spans="2:21" ht="15" thickBot="1" x14ac:dyDescent="0.25">
      <c r="B46" s="33"/>
      <c r="C46" s="34"/>
      <c r="D46" s="34"/>
      <c r="E46" s="34"/>
      <c r="F46" s="34"/>
      <c r="G46" s="34" t="s">
        <v>32</v>
      </c>
      <c r="H46" s="34"/>
      <c r="I46" s="34"/>
      <c r="J46" s="34"/>
      <c r="K46" s="34"/>
      <c r="L46" s="34"/>
      <c r="M46" s="34"/>
      <c r="N46" s="34">
        <f>SUM(N34:N45)</f>
        <v>20000</v>
      </c>
      <c r="O46" s="34"/>
      <c r="P46" s="34"/>
      <c r="Q46" s="34"/>
      <c r="R46" s="34"/>
      <c r="S46" s="34"/>
      <c r="T46" s="35"/>
    </row>
    <row r="47" spans="2:21" x14ac:dyDescent="0.2">
      <c r="H47" s="28" t="s">
        <v>26</v>
      </c>
      <c r="L47" s="28" t="s">
        <v>26</v>
      </c>
      <c r="M47" s="37"/>
    </row>
    <row r="48" spans="2:21" x14ac:dyDescent="0.2">
      <c r="E48" s="39" t="s">
        <v>35</v>
      </c>
      <c r="F48">
        <v>56</v>
      </c>
      <c r="G48">
        <v>5</v>
      </c>
      <c r="H48">
        <v>57</v>
      </c>
      <c r="I48" t="s">
        <v>34</v>
      </c>
    </row>
    <row r="49" spans="6:13" x14ac:dyDescent="0.2">
      <c r="F49">
        <v>56</v>
      </c>
      <c r="G49">
        <v>6</v>
      </c>
      <c r="H49">
        <v>58</v>
      </c>
      <c r="J49" s="39" t="s">
        <v>36</v>
      </c>
      <c r="K49">
        <v>5</v>
      </c>
      <c r="L49">
        <v>57</v>
      </c>
    </row>
    <row r="50" spans="6:13" x14ac:dyDescent="0.2">
      <c r="H50">
        <v>59</v>
      </c>
      <c r="J50">
        <v>57</v>
      </c>
      <c r="K50">
        <v>6</v>
      </c>
      <c r="L50">
        <v>58</v>
      </c>
      <c r="M50" t="s">
        <v>37</v>
      </c>
    </row>
    <row r="51" spans="6:13" x14ac:dyDescent="0.2">
      <c r="F51" t="s">
        <v>33</v>
      </c>
      <c r="L51">
        <v>59</v>
      </c>
    </row>
    <row r="52" spans="6:13" x14ac:dyDescent="0.2">
      <c r="F52">
        <v>56</v>
      </c>
      <c r="G52">
        <v>5</v>
      </c>
      <c r="H52">
        <v>57</v>
      </c>
      <c r="J52" t="s">
        <v>33</v>
      </c>
      <c r="L52">
        <v>60</v>
      </c>
    </row>
    <row r="53" spans="6:13" x14ac:dyDescent="0.2">
      <c r="F53">
        <v>56</v>
      </c>
      <c r="G53">
        <v>6</v>
      </c>
      <c r="H53">
        <v>58</v>
      </c>
      <c r="J53">
        <v>56</v>
      </c>
      <c r="K53">
        <v>5</v>
      </c>
      <c r="L53">
        <v>57</v>
      </c>
    </row>
    <row r="54" spans="6:13" x14ac:dyDescent="0.2">
      <c r="F54">
        <v>57</v>
      </c>
      <c r="G54">
        <v>6</v>
      </c>
      <c r="H54">
        <v>59</v>
      </c>
      <c r="J54">
        <v>57</v>
      </c>
      <c r="K54">
        <v>6</v>
      </c>
      <c r="L54">
        <v>58</v>
      </c>
    </row>
    <row r="55" spans="6:13" x14ac:dyDescent="0.2">
      <c r="H55">
        <v>60</v>
      </c>
      <c r="J55">
        <v>58</v>
      </c>
      <c r="K55">
        <v>6</v>
      </c>
      <c r="L55">
        <v>59</v>
      </c>
    </row>
    <row r="56" spans="6:13" x14ac:dyDescent="0.2">
      <c r="K56">
        <v>6</v>
      </c>
      <c r="L56">
        <v>60</v>
      </c>
    </row>
    <row r="57" spans="6:13" x14ac:dyDescent="0.2">
      <c r="L57">
        <v>61</v>
      </c>
    </row>
    <row r="58" spans="6:13" x14ac:dyDescent="0.2">
      <c r="G58" t="s">
        <v>38</v>
      </c>
    </row>
    <row r="59" spans="6:13" x14ac:dyDescent="0.2">
      <c r="G59" t="s">
        <v>39</v>
      </c>
    </row>
    <row r="60" spans="6:13" x14ac:dyDescent="0.2">
      <c r="G60" t="s">
        <v>40</v>
      </c>
    </row>
  </sheetData>
  <pageMargins left="0.7" right="0.7" top="0.75" bottom="0.75" header="0.3" footer="0.3"/>
  <pageSetup paperSize="9" orientation="portrait" horizontalDpi="4294967293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Santipong Nasui</cp:lastModifiedBy>
  <dcterms:created xsi:type="dcterms:W3CDTF">2011-09-05T18:43:53Z</dcterms:created>
  <dcterms:modified xsi:type="dcterms:W3CDTF">2011-09-08T00:04:20Z</dcterms:modified>
</cp:coreProperties>
</file>