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5480" windowHeight="8010" tabRatio="828"/>
  </bookViews>
  <sheets>
    <sheet name="Report" sheetId="15" r:id="rId1"/>
    <sheet name="TaxInvoice" sheetId="11" r:id="rId2"/>
    <sheet name="DV-IDENTITY-0" sheetId="7" state="veryHidden" r:id="rId3"/>
    <sheet name="Data" sheetId="12" r:id="rId4"/>
    <sheet name="Creditor" sheetId="8" r:id="rId5"/>
    <sheet name="Site" sheetId="9" r:id="rId6"/>
  </sheets>
  <definedNames>
    <definedName name="_xlnm._FilterDatabase" localSheetId="1" hidden="1">TaxInvoice!$B$2:$H$288</definedName>
    <definedName name="Amount">OFFSET(#REF!,0,0,COUNTA(#REF!)-1)</definedName>
    <definedName name="Creditor">OFFSET(Creditor!$B$2,0,0,COUNTA(Creditor!$B:$B)-1)</definedName>
    <definedName name="_xlnm.Criteria" localSheetId="0">Report!$K$1:$M$2</definedName>
    <definedName name="Data_Amount">OFFSET(Data!$F$2,0,0,COUNTA(Data!$F:$F)-1)</definedName>
    <definedName name="Data_Tax">OFFSET(Data!$E$2,0,0,COUNTA(Data!$E:$E)-1)</definedName>
    <definedName name="_xlnm.Database">OFFSET(#REF!,0,0,COUNTA(#REF!)-1)</definedName>
    <definedName name="Date">OFFSET(#REF!,0,0,COUNTA(#REF!)-1)</definedName>
    <definedName name="_xlnm.Extract" localSheetId="0">Report!$A$8:$D$8</definedName>
    <definedName name="ID">OFFSET(#REF!,0,0,COUNTA(#REF!)-1)</definedName>
    <definedName name="Note">OFFSET(#REF!,0,0,COUNTA(#REF!)-1)</definedName>
    <definedName name="Site">Site!$B$2:$B$21</definedName>
    <definedName name="ValCreditor">OFFSET(Creditor!$E$2,0,0,Creditor!$E$1)</definedName>
    <definedName name="ValSite">OFFSET(Site!$E$2,0,0,Site!$E$1)</definedName>
    <definedName name="งวด">OFFSET(#REF!,0,0,COUNTA(#REF!)-1)</definedName>
  </definedNames>
  <calcPr calcId="124519"/>
  <customWorkbookViews>
    <customWorkbookView name="ANURUK - มุมมองส่วนบุคคล" guid="{293FF80F-EF7D-4FB0-8B0B-45CE1E079A27}" mergeInterval="0" personalView="1" maximized="1" xWindow="1" yWindow="1" windowWidth="1356" windowHeight="536" activeSheetId="2"/>
    <customWorkbookView name="Ant - มุมมองส่วนบุคคล" guid="{B36C6FA1-08A0-40AD-9D06-C372589C511F}" mergeInterval="0" personalView="1" maximized="1" xWindow="1" yWindow="1" windowWidth="1362" windowHeight="538" activeSheetId="2"/>
  </customWorkbookViews>
</workbook>
</file>

<file path=xl/calcChain.xml><?xml version="1.0" encoding="utf-8"?>
<calcChain xmlns="http://schemas.openxmlformats.org/spreadsheetml/2006/main">
  <c r="E9" i="15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F167" l="1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D1" i="8" l="1"/>
  <c r="C97" s="1"/>
  <c r="D1" i="9"/>
  <c r="K1" i="15" a="1"/>
  <c r="K1" s="1"/>
  <c r="I3"/>
  <c r="I2"/>
  <c r="I1"/>
  <c r="I4"/>
  <c r="C192" i="8" l="1"/>
  <c r="C196"/>
  <c r="C188"/>
  <c r="C194"/>
  <c r="C190"/>
  <c r="C186"/>
  <c r="C184"/>
  <c r="C182"/>
  <c r="C178"/>
  <c r="C174"/>
  <c r="C170"/>
  <c r="C163"/>
  <c r="C150"/>
  <c r="C134"/>
  <c r="C118"/>
  <c r="C102"/>
  <c r="C197"/>
  <c r="C195"/>
  <c r="C193"/>
  <c r="C191"/>
  <c r="C189"/>
  <c r="C187"/>
  <c r="C185"/>
  <c r="C183"/>
  <c r="C180"/>
  <c r="C176"/>
  <c r="C172"/>
  <c r="C167"/>
  <c r="C158"/>
  <c r="C142"/>
  <c r="C126"/>
  <c r="C110"/>
  <c r="C2"/>
  <c r="C3" s="1"/>
  <c r="C4" s="1"/>
  <c r="C5" s="1"/>
  <c r="C2" i="9"/>
  <c r="C21"/>
  <c r="C20"/>
  <c r="C181" i="8"/>
  <c r="C179"/>
  <c r="C177"/>
  <c r="C175"/>
  <c r="C173"/>
  <c r="C171"/>
  <c r="C169"/>
  <c r="C165"/>
  <c r="C161"/>
  <c r="C154"/>
  <c r="C146"/>
  <c r="C138"/>
  <c r="C130"/>
  <c r="C122"/>
  <c r="C114"/>
  <c r="C106"/>
  <c r="C98"/>
  <c r="C168"/>
  <c r="C166"/>
  <c r="C164"/>
  <c r="C162"/>
  <c r="C160"/>
  <c r="C156"/>
  <c r="C152"/>
  <c r="C148"/>
  <c r="C144"/>
  <c r="C140"/>
  <c r="C136"/>
  <c r="C132"/>
  <c r="C128"/>
  <c r="C124"/>
  <c r="C120"/>
  <c r="C116"/>
  <c r="C112"/>
  <c r="C108"/>
  <c r="C104"/>
  <c r="C100"/>
  <c r="C159"/>
  <c r="C157"/>
  <c r="C155"/>
  <c r="C153"/>
  <c r="C151"/>
  <c r="C149"/>
  <c r="C147"/>
  <c r="C145"/>
  <c r="C143"/>
  <c r="C141"/>
  <c r="C139"/>
  <c r="C137"/>
  <c r="C135"/>
  <c r="C133"/>
  <c r="C131"/>
  <c r="C129"/>
  <c r="C127"/>
  <c r="C125"/>
  <c r="C123"/>
  <c r="C121"/>
  <c r="C119"/>
  <c r="C117"/>
  <c r="C115"/>
  <c r="C113"/>
  <c r="C111"/>
  <c r="C109"/>
  <c r="C107"/>
  <c r="C105"/>
  <c r="C103"/>
  <c r="C101"/>
  <c r="C99"/>
  <c r="M2" i="15"/>
  <c r="K2"/>
  <c r="L1"/>
  <c r="L2"/>
  <c r="M1"/>
  <c r="C3" i="9" l="1"/>
  <c r="C6" i="8"/>
  <c r="C4" i="9" l="1"/>
  <c r="C7" i="8"/>
  <c r="C5" i="9" l="1"/>
  <c r="C6" s="1"/>
  <c r="C8" i="8"/>
  <c r="F9" i="15"/>
  <c r="F10" l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C7" i="9"/>
  <c r="C9" i="8"/>
  <c r="C10" s="1"/>
  <c r="A20" i="9"/>
  <c r="A21"/>
  <c r="A3"/>
  <c r="A4" s="1"/>
  <c r="A5" s="1"/>
  <c r="A97" i="8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3"/>
  <c r="A4" s="1"/>
  <c r="A5" s="1"/>
  <c r="G2" i="15" l="1"/>
  <c r="C8" i="9"/>
  <c r="C11" i="8"/>
  <c r="C12" s="1"/>
  <c r="A6" i="9"/>
  <c r="A6" i="8"/>
  <c r="C9" i="9" l="1"/>
  <c r="C13" i="8"/>
  <c r="C14" s="1"/>
  <c r="A7" i="9"/>
  <c r="A7" i="8"/>
  <c r="C10" i="9" l="1"/>
  <c r="C11" s="1"/>
  <c r="C15" i="8"/>
  <c r="A8" i="9"/>
  <c r="A9"/>
  <c r="A8" i="8"/>
  <c r="C12" i="9" l="1"/>
  <c r="C13" s="1"/>
  <c r="C14" s="1"/>
  <c r="C16" i="8"/>
  <c r="A10" i="9"/>
  <c r="A9" i="8"/>
  <c r="A10" s="1"/>
  <c r="A11" s="1"/>
  <c r="C15" i="9" l="1"/>
  <c r="C16"/>
  <c r="C17" i="8"/>
  <c r="C18" s="1"/>
  <c r="A11" i="9"/>
  <c r="A12" s="1"/>
  <c r="A12" i="8"/>
  <c r="A13" s="1"/>
  <c r="C17" i="9" l="1"/>
  <c r="C18" s="1"/>
  <c r="C19" i="8"/>
  <c r="A13" i="9"/>
  <c r="A14" s="1"/>
  <c r="A15" s="1"/>
  <c r="A16" s="1"/>
  <c r="A17" s="1"/>
  <c r="A14" i="8"/>
  <c r="C19" i="9" l="1"/>
  <c r="E1" s="1"/>
  <c r="C20" i="8"/>
  <c r="C21" s="1"/>
  <c r="A18" i="9"/>
  <c r="A19" s="1"/>
  <c r="A15" i="8"/>
  <c r="E4" i="9" l="1"/>
  <c r="E6"/>
  <c r="E8"/>
  <c r="E10"/>
  <c r="E12"/>
  <c r="E14"/>
  <c r="E16"/>
  <c r="E18"/>
  <c r="E20"/>
  <c r="E2"/>
  <c r="E3"/>
  <c r="E5"/>
  <c r="E7"/>
  <c r="E9"/>
  <c r="E11"/>
  <c r="E13"/>
  <c r="E15"/>
  <c r="E17"/>
  <c r="E19"/>
  <c r="E21"/>
  <c r="C22" i="8"/>
  <c r="C23" s="1"/>
  <c r="A16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C24" l="1"/>
  <c r="C25" l="1"/>
  <c r="C26" s="1"/>
  <c r="C27" l="1"/>
  <c r="C28" s="1"/>
  <c r="C29" l="1"/>
  <c r="C30" s="1"/>
  <c r="C31" s="1"/>
  <c r="C32" l="1"/>
  <c r="C33" l="1"/>
  <c r="C34" l="1"/>
  <c r="C35" s="1"/>
  <c r="C36" l="1"/>
  <c r="C37" l="1"/>
  <c r="C38" s="1"/>
  <c r="C39" l="1"/>
  <c r="C40" s="1"/>
  <c r="C41" l="1"/>
  <c r="C42" s="1"/>
  <c r="C43" s="1"/>
  <c r="C44" s="1"/>
  <c r="C45" l="1"/>
  <c r="C46" l="1"/>
  <c r="C47" s="1"/>
  <c r="C48" l="1"/>
  <c r="C49" s="1"/>
  <c r="C50" l="1"/>
  <c r="C51" s="1"/>
  <c r="C52" l="1"/>
  <c r="C53" l="1"/>
  <c r="C54" l="1"/>
  <c r="C55" s="1"/>
  <c r="C56" l="1"/>
  <c r="C57" s="1"/>
  <c r="C58" l="1"/>
  <c r="C59" s="1"/>
  <c r="C60" l="1"/>
  <c r="C61" s="1"/>
  <c r="C62" l="1"/>
  <c r="C63" s="1"/>
  <c r="C64" l="1"/>
  <c r="C65" s="1"/>
  <c r="C66" l="1"/>
  <c r="C67" s="1"/>
  <c r="C68" s="1"/>
  <c r="C69" l="1"/>
  <c r="C70"/>
  <c r="C71" l="1"/>
  <c r="C72" l="1"/>
  <c r="C73" l="1"/>
  <c r="C74" l="1"/>
  <c r="C75" l="1"/>
  <c r="C76" l="1"/>
  <c r="C77" l="1"/>
  <c r="C78" l="1"/>
  <c r="C79" l="1"/>
  <c r="C80" l="1"/>
  <c r="C81" l="1"/>
  <c r="C82" l="1"/>
  <c r="C83" l="1"/>
  <c r="C84" l="1"/>
  <c r="C85" l="1"/>
  <c r="C86" l="1"/>
  <c r="C87" l="1"/>
  <c r="C88" l="1"/>
  <c r="C89" l="1"/>
  <c r="C90" l="1"/>
  <c r="C91" l="1"/>
  <c r="C92" l="1"/>
  <c r="C93" l="1"/>
  <c r="C94" l="1"/>
  <c r="C95" s="1"/>
  <c r="C96" l="1"/>
  <c r="E1" s="1"/>
  <c r="E2" s="1"/>
  <c r="E193" l="1"/>
  <c r="E185"/>
  <c r="E177"/>
  <c r="E169"/>
  <c r="E161"/>
  <c r="E153"/>
  <c r="E145"/>
  <c r="E137"/>
  <c r="E129"/>
  <c r="E121"/>
  <c r="E109"/>
  <c r="E93"/>
  <c r="E197"/>
  <c r="E189"/>
  <c r="E181"/>
  <c r="E173"/>
  <c r="E165"/>
  <c r="E157"/>
  <c r="E149"/>
  <c r="E141"/>
  <c r="E133"/>
  <c r="E125"/>
  <c r="E117"/>
  <c r="E101"/>
  <c r="E85"/>
  <c r="E77"/>
  <c r="E69"/>
  <c r="E61"/>
  <c r="E53"/>
  <c r="E45"/>
  <c r="E37"/>
  <c r="E23"/>
  <c r="E7"/>
  <c r="E186"/>
  <c r="E170"/>
  <c r="E154"/>
  <c r="E138"/>
  <c r="E114"/>
  <c r="E82"/>
  <c r="E50"/>
  <c r="E195"/>
  <c r="E191"/>
  <c r="E187"/>
  <c r="E183"/>
  <c r="E179"/>
  <c r="E175"/>
  <c r="E171"/>
  <c r="E167"/>
  <c r="E163"/>
  <c r="E159"/>
  <c r="E155"/>
  <c r="E151"/>
  <c r="E147"/>
  <c r="E143"/>
  <c r="E139"/>
  <c r="E135"/>
  <c r="E131"/>
  <c r="E127"/>
  <c r="E123"/>
  <c r="E119"/>
  <c r="E113"/>
  <c r="E105"/>
  <c r="E97"/>
  <c r="E89"/>
  <c r="E81"/>
  <c r="E73"/>
  <c r="E65"/>
  <c r="E57"/>
  <c r="E49"/>
  <c r="E41"/>
  <c r="E31"/>
  <c r="E15"/>
  <c r="E194"/>
  <c r="E178"/>
  <c r="E162"/>
  <c r="E146"/>
  <c r="E130"/>
  <c r="E98"/>
  <c r="E66"/>
  <c r="E34"/>
  <c r="E115"/>
  <c r="E111"/>
  <c r="E107"/>
  <c r="E103"/>
  <c r="E99"/>
  <c r="E95"/>
  <c r="E91"/>
  <c r="E87"/>
  <c r="E83"/>
  <c r="E79"/>
  <c r="E75"/>
  <c r="E71"/>
  <c r="E67"/>
  <c r="E63"/>
  <c r="E59"/>
  <c r="E55"/>
  <c r="E51"/>
  <c r="E47"/>
  <c r="E43"/>
  <c r="E39"/>
  <c r="E35"/>
  <c r="E27"/>
  <c r="E19"/>
  <c r="E11"/>
  <c r="E3"/>
  <c r="E190"/>
  <c r="E182"/>
  <c r="E174"/>
  <c r="E166"/>
  <c r="E158"/>
  <c r="E150"/>
  <c r="E142"/>
  <c r="E134"/>
  <c r="E122"/>
  <c r="E106"/>
  <c r="E90"/>
  <c r="E74"/>
  <c r="E58"/>
  <c r="E42"/>
  <c r="E18"/>
  <c r="E33"/>
  <c r="E29"/>
  <c r="E25"/>
  <c r="E21"/>
  <c r="E17"/>
  <c r="E13"/>
  <c r="E9"/>
  <c r="E5"/>
  <c r="E196"/>
  <c r="E192"/>
  <c r="E188"/>
  <c r="E184"/>
  <c r="E180"/>
  <c r="E176"/>
  <c r="E172"/>
  <c r="E168"/>
  <c r="E164"/>
  <c r="E160"/>
  <c r="E156"/>
  <c r="E152"/>
  <c r="E148"/>
  <c r="E144"/>
  <c r="E140"/>
  <c r="E136"/>
  <c r="E132"/>
  <c r="E126"/>
  <c r="E118"/>
  <c r="E110"/>
  <c r="E102"/>
  <c r="E94"/>
  <c r="E86"/>
  <c r="E78"/>
  <c r="E70"/>
  <c r="E62"/>
  <c r="E54"/>
  <c r="E46"/>
  <c r="E38"/>
  <c r="E26"/>
  <c r="E10"/>
  <c r="E128"/>
  <c r="E124"/>
  <c r="E120"/>
  <c r="E116"/>
  <c r="E112"/>
  <c r="E108"/>
  <c r="E104"/>
  <c r="E100"/>
  <c r="E96"/>
  <c r="E92"/>
  <c r="E88"/>
  <c r="E84"/>
  <c r="E80"/>
  <c r="E76"/>
  <c r="E72"/>
  <c r="E68"/>
  <c r="E64"/>
  <c r="E60"/>
  <c r="E56"/>
  <c r="E52"/>
  <c r="E48"/>
  <c r="E44"/>
  <c r="E40"/>
  <c r="E36"/>
  <c r="E30"/>
  <c r="E22"/>
  <c r="E14"/>
  <c r="E6"/>
  <c r="E32"/>
  <c r="E28"/>
  <c r="E24"/>
  <c r="E20"/>
  <c r="E16"/>
  <c r="E12"/>
  <c r="E8"/>
  <c r="E4"/>
  <c r="B2" i="7" l="1"/>
  <c r="A1"/>
  <c r="B1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</calcChain>
</file>

<file path=xl/sharedStrings.xml><?xml version="1.0" encoding="utf-8"?>
<sst xmlns="http://schemas.openxmlformats.org/spreadsheetml/2006/main" count="1396" uniqueCount="336">
  <si>
    <t>ชื่อ</t>
  </si>
  <si>
    <t>รหัส</t>
  </si>
  <si>
    <t>จำนวนเงิน</t>
  </si>
  <si>
    <t>AAAAAHc+xwA=</t>
  </si>
  <si>
    <t>ชำระแล้ว</t>
  </si>
  <si>
    <t>บริษัท จุฬาวิศวกรรม จำกัด</t>
  </si>
  <si>
    <t>บริษัท เพชรสยาม พีอี ไพพ์ จำกัด</t>
  </si>
  <si>
    <t>บริษัท เอเบิล อินดัสทรี จำกัด</t>
  </si>
  <si>
    <t>บริษัท เอ็น.จี.ซัพพลาย จำกัด</t>
  </si>
  <si>
    <t>บริษัท โฟลว์ มิเตอร์ไทย จำกัด</t>
  </si>
  <si>
    <t>บริษัท พีเอสบี วอเตอร์เทค จำกัด</t>
  </si>
  <si>
    <t>บริษัท ฟอสร็อค (ประเทศไทย) จำกัด</t>
  </si>
  <si>
    <t>บริษัท โพรมิเน้นท์ ฟลูอิด คอนโทรลส์ (ประเทศไทย) จำกัด</t>
  </si>
  <si>
    <t>บริษัท ออโตเมชั่น ฮันเตอร์ จำกัด</t>
  </si>
  <si>
    <t>บริษัท เมืองทองจักรกล จำกัด</t>
  </si>
  <si>
    <t>บริษัท ยู.เอ็น.อิเล็คทริค จำกัด</t>
  </si>
  <si>
    <t>บริษัท กาญจนาคอนกรีต จำกัด</t>
  </si>
  <si>
    <t>บริษัท ไฮเทคไทยคอนกรีต จำกัด</t>
  </si>
  <si>
    <t>บริษัท เอ็ม เอ็ม พี ดิสทริบิวเตอร์</t>
  </si>
  <si>
    <t>บริษัท สุโรจน์โลหะกิจ จำกัด</t>
  </si>
  <si>
    <t>บริษัท บีเอเอสเอฟ (ไทย) จำกัด</t>
  </si>
  <si>
    <t>หจก. เอส แอนด์ เอส ออฟฟิศเซ็นเตอร์</t>
  </si>
  <si>
    <t>บริษัท เอเซียค้าไม้และวัตถุก่อสร้าง จำกัด</t>
  </si>
  <si>
    <t>บริษัท พาแนล แบรนด์ จำกัด</t>
  </si>
  <si>
    <t>บริษัท มีพร้อม อิเล็คทริค จำกัด</t>
  </si>
  <si>
    <t>บริษัท ไทยแชมป์เปี้ยนวาล์ว จำกัด</t>
  </si>
  <si>
    <t>บริษัท พี วี เอส เทรดดิ้ง (2545) จำกัด</t>
  </si>
  <si>
    <t>บริษัท บี.เค.เม็ททอลชีท พระราม 2  จำกัด</t>
  </si>
  <si>
    <t>บริษัท บุญถาวรเซรามิค จำกัด (สาขารัชดา</t>
  </si>
  <si>
    <t>บริษัท อาร์ พี เอส ซี เคมิคอล จำกัด</t>
  </si>
  <si>
    <t>บริษัท แสงมิตร อีเลคตริค จำกัด</t>
  </si>
  <si>
    <t>บริษัท ไทยก้าวไกล กรุ๊ป จำกัด</t>
  </si>
  <si>
    <t>บริษัท ก.ภัทรค้าไม้ จำกัด</t>
  </si>
  <si>
    <t>บริษัท ริชปอร์ต คอมเมอร์เชียล จำกัด</t>
  </si>
  <si>
    <t>หจก. รัชดาเซรามิค จำกัด</t>
  </si>
  <si>
    <t>บริษัท แซน โพรดักส์ จำกัด</t>
  </si>
  <si>
    <t>บริษัท เคมเม็กอุตสาหกรรม จำกัด</t>
  </si>
  <si>
    <t>บริษัท อุตสาหกรรมท่อน้ำไทย จำกัด</t>
  </si>
  <si>
    <t>บริษัท อัสโก้ จำกัด</t>
  </si>
  <si>
    <t>หจก. ปากท่อคอนกรีต จำกัด</t>
  </si>
  <si>
    <t>บริษัท พานาโซนิค ซิว เซลส์(ประเทศไทย) จำกัด</t>
  </si>
  <si>
    <t>บริษัท สยาม ฟาสเทนเนอร์ จำกัด</t>
  </si>
  <si>
    <t>บริษัท สระบุรีเครื่องก่อสร้าง จำกัด</t>
  </si>
  <si>
    <t>บริษัท แจ้งวัฒนะคอนกรีต จำกัด</t>
  </si>
  <si>
    <t>บริษัท เอเชียกรุ๊ป (1999) จำกัด</t>
  </si>
  <si>
    <t>บริษัท กรุ๊ป เอส.พี ไวร์เมช จำกัด</t>
  </si>
  <si>
    <t>บริษัท ควอลิตี้ เอ็กซ์ทรูชั่น จำกัด</t>
  </si>
  <si>
    <t>หจก. ศักดิ์สิทธิ์ อินเตอร์เครน</t>
  </si>
  <si>
    <t>บริษัท ไทยวอเตอร์ เอ็นจิเนี่ยริ่ง จำกัด</t>
  </si>
  <si>
    <t>บริษัท ไทยไพลิ่ง จำกัด</t>
  </si>
  <si>
    <t>บริษัท ทักษิณคอนกรีต จำกัด (มหาชน)</t>
  </si>
  <si>
    <t>บริษัท ยู.จีอาร์พี (ไทยแลนด์) จำกัด</t>
  </si>
  <si>
    <t>บริษัท บางกอก ทราโฟ จำกัด</t>
  </si>
  <si>
    <t>ร้านเอ็นโฟร์ไอที</t>
  </si>
  <si>
    <t>หจก. ศรีบรรเทา จำกัด</t>
  </si>
  <si>
    <t>บริษัท ยูเอชเอ็ม จำกัด</t>
  </si>
  <si>
    <t>หจก.ลี้เงี๊ยบเส็ง จำกัด</t>
  </si>
  <si>
    <t>หจก. เอสซีอี 2001 จำกัด</t>
  </si>
  <si>
    <t>บริษัท บ้านค่ายผลิตภัณฑ์คอนกรีต จำกัด</t>
  </si>
  <si>
    <t>End</t>
  </si>
  <si>
    <t>หน่วยงาน</t>
  </si>
  <si>
    <t>หน่วยงานปากท่อ</t>
  </si>
  <si>
    <t>หน่วยงานบุรีรัมย์</t>
  </si>
  <si>
    <t>หน่วยงานบ้านโป่ง</t>
  </si>
  <si>
    <t>หน่วยงานมาบข่า</t>
  </si>
  <si>
    <t>หน่วยงานสังขะ</t>
  </si>
  <si>
    <t>หน่วยงานนครชัยศรี</t>
  </si>
  <si>
    <t>หน่วยงานบางพระ</t>
  </si>
  <si>
    <t>หน่วยงานสีหนาด</t>
  </si>
  <si>
    <t>หน่วยงานบุญพนาวัฒน์</t>
  </si>
  <si>
    <t>หน่วยงานหนองคาย</t>
  </si>
  <si>
    <t>หน่วยงานชัยนาท</t>
  </si>
  <si>
    <t>หน่วยงานวังน้ำเขียว-ปักธงชัย</t>
  </si>
  <si>
    <t>หน่วยงานอ่างทอง-สิงห์บุรี</t>
  </si>
  <si>
    <t>หน่วยงานภูเก็ต</t>
  </si>
  <si>
    <t>บริษัท โตเซน (ประเทศไทย) จำกัด</t>
  </si>
  <si>
    <t>บริษัท เอ.ซี. อีควิปเมนท์ จำกัด</t>
  </si>
  <si>
    <t>บริษัท ซีฟาสส์ เทค จำกัด</t>
  </si>
  <si>
    <t>บริษัท ไทยยนต์แทรกเตอร์ จำกัด</t>
  </si>
  <si>
    <t>บริษัท ไทยรุ่งเอ็นเนอร์จี จำกัด</t>
  </si>
  <si>
    <t>บริษัท รวมทองจักรกล เอ็นจิเนียริ่ง จำกัด</t>
  </si>
  <si>
    <t>บริษัท เสนาอารักษ์ จำกัด</t>
  </si>
  <si>
    <t>อำนวย พระลักษณ์</t>
  </si>
  <si>
    <t>ห.จ.ก.เรืองแสงไทยเจริญกิจ</t>
  </si>
  <si>
    <t>บริษัท อภิสิทธิ์และบุตรขนส่ง จำกัด</t>
  </si>
  <si>
    <t>บริษัท เอราวัณ เอ็นเตอร์ไพรส์ (1994) จำกัด</t>
  </si>
  <si>
    <t>บริษัท สันติสุขไฮเวย์ จำกัด</t>
  </si>
  <si>
    <t>บริษัท ฟิวเจอร์ ซายน์ จำกัด</t>
  </si>
  <si>
    <t>บริษัท ซีนิกซ์ อีเล็คเท็ค จำกัด</t>
  </si>
  <si>
    <t>บริษัท เอส ที อิเล็คทริคอล โปรดักส์ จำกัด</t>
  </si>
  <si>
    <t>บริษัท เมืองไทยไวโบร์ (2005) จำกัด</t>
  </si>
  <si>
    <t>บริษัท ติยะ มาสเตอร์ ซิสเต็มส์ จำกัด</t>
  </si>
  <si>
    <t xml:space="preserve">หจก.79 น.พาณิชย์ </t>
  </si>
  <si>
    <t>บริษัท เอเทค อินดัสตรี้ส์ จำกัด</t>
  </si>
  <si>
    <t>บริษัท ชัยนาทสหมิตร จำกัด</t>
  </si>
  <si>
    <t>หจก. ชัยวัฒน์ค้าไม้</t>
  </si>
  <si>
    <t>บริษัท ฉลองคอนกรีต 1999 จำกัด</t>
  </si>
  <si>
    <t>ร้านชัยพรอิฐบล็อค</t>
  </si>
  <si>
    <t>ร้านเจ เอสเอ็น หนองคาย</t>
  </si>
  <si>
    <t>บริษัท เลาหทองไพบูลย์ จำกัด</t>
  </si>
  <si>
    <t xml:space="preserve">บริษัท สยามภัทร์ จำกัด </t>
  </si>
  <si>
    <t>บริษัท เอสเอ็มอี อินเตอร์เนชั่นแนล จำกัด</t>
  </si>
  <si>
    <t>บริษัท สยามซินดิเคทเทคโนโลยี จำกัด</t>
  </si>
  <si>
    <t>วัฒนชัย</t>
  </si>
  <si>
    <t>พัชโรจน์ เหลืองเมตตากุล</t>
  </si>
  <si>
    <t>OD กรุงไทย</t>
  </si>
  <si>
    <t>คุณสุวิทย์</t>
  </si>
  <si>
    <t>คุณสุวิทย์ สำรวจออกแบบ</t>
  </si>
  <si>
    <t>พีระพงษ์ แดงพิทักษ์</t>
  </si>
  <si>
    <t>ประพิณ อาสนชัย</t>
  </si>
  <si>
    <t>คุณณพ</t>
  </si>
  <si>
    <t>หจก. ส. เลิศเครนเซอร์วิส จำกัด</t>
  </si>
  <si>
    <t>OD กสิกรไทย</t>
  </si>
  <si>
    <t>PN กสิกรไทย</t>
  </si>
  <si>
    <t>LONE กสิกรไทย</t>
  </si>
  <si>
    <t>หน่วยงานสมุทรสาคร</t>
  </si>
  <si>
    <t>สถานะ</t>
  </si>
  <si>
    <t>หน่วยงานส่วนกลาง</t>
  </si>
  <si>
    <t>ลำดับ</t>
  </si>
  <si>
    <t>วันที่ตามใบกำกับ</t>
  </si>
  <si>
    <t>วันครบกำหนด</t>
  </si>
  <si>
    <t>รหัสใบกำกับ</t>
  </si>
  <si>
    <t>บริษัท</t>
  </si>
  <si>
    <t>ยอดเงิน</t>
  </si>
  <si>
    <t>แบบฟอร์มบันทึกใบกำกับภาษี</t>
  </si>
  <si>
    <t>เลขที่ใบกำกับ</t>
  </si>
  <si>
    <t>ลำดับที่</t>
  </si>
  <si>
    <t>ค้างชำระ</t>
  </si>
  <si>
    <t>จ่าย</t>
  </si>
  <si>
    <t>คงเหลือ</t>
  </si>
  <si>
    <t>รวมยอดเงิน</t>
  </si>
  <si>
    <t>ยอดเงินยกมา</t>
  </si>
  <si>
    <t>IF(ROWS(A$9:A9)&gt;$I$4,"",INDEX(TaxInvoice!B$3:B$500,SMALL(IF($C$2&amp;$C$3&amp;$C$4=INDIRECT($I$1)&amp;INDIRECT($I$2)&amp;INDIRECT($I$3),ROW(TaxInvoice!$B$3:$B$500)-ROW(TaxInvoice!$F$3)+1),ROWS(A$9:A9))))</t>
  </si>
  <si>
    <t>IV5302751</t>
  </si>
  <si>
    <t>IV5302852</t>
  </si>
  <si>
    <t>IV5401130</t>
  </si>
  <si>
    <t>IV5403147</t>
  </si>
  <si>
    <t>IV5403148</t>
  </si>
  <si>
    <t>IV5403237</t>
  </si>
  <si>
    <t>IV5403322</t>
  </si>
  <si>
    <t>IV5401975</t>
  </si>
  <si>
    <t>IV5401857</t>
  </si>
  <si>
    <t>IV5401858</t>
  </si>
  <si>
    <t>IV5402224</t>
  </si>
  <si>
    <t>IV5402028</t>
  </si>
  <si>
    <t>IV5402614</t>
  </si>
  <si>
    <t>IV5402615</t>
  </si>
  <si>
    <t>IV5402705</t>
  </si>
  <si>
    <t>IV5402738</t>
  </si>
  <si>
    <t>IV5402739</t>
  </si>
  <si>
    <t>IV5402778</t>
  </si>
  <si>
    <t>IV5402786</t>
  </si>
  <si>
    <t>IV5402849</t>
  </si>
  <si>
    <t>IV5402850</t>
  </si>
  <si>
    <t>IV5402446</t>
  </si>
  <si>
    <t>IV5402447</t>
  </si>
  <si>
    <t>IV5402560</t>
  </si>
  <si>
    <t>IV5402578</t>
  </si>
  <si>
    <t>IV5402579</t>
  </si>
  <si>
    <t>IV5402891</t>
  </si>
  <si>
    <t>IV5402892</t>
  </si>
  <si>
    <t>IV5402893</t>
  </si>
  <si>
    <t>IV5402919</t>
  </si>
  <si>
    <t>IV5402920</t>
  </si>
  <si>
    <t>IV5402921</t>
  </si>
  <si>
    <t>IV5403001</t>
  </si>
  <si>
    <t>IV5403092</t>
  </si>
  <si>
    <t>IV5403093</t>
  </si>
  <si>
    <t>IV5403094</t>
  </si>
  <si>
    <t>IV5403095</t>
  </si>
  <si>
    <t>IV5403096</t>
  </si>
  <si>
    <t>IV5403097</t>
  </si>
  <si>
    <t>IV5403098</t>
  </si>
  <si>
    <t>IV5403099</t>
  </si>
  <si>
    <t>IV5403159</t>
  </si>
  <si>
    <t>IV5403160</t>
  </si>
  <si>
    <t>IV5403161</t>
  </si>
  <si>
    <t>IV5403162</t>
  </si>
  <si>
    <t>IV5403163</t>
  </si>
  <si>
    <t>IV5403164</t>
  </si>
  <si>
    <t>IV5403165</t>
  </si>
  <si>
    <t>IV5403166</t>
  </si>
  <si>
    <t>IV5403167</t>
  </si>
  <si>
    <t>IV5403282</t>
  </si>
  <si>
    <t>IV5403283</t>
  </si>
  <si>
    <t>IV5403284</t>
  </si>
  <si>
    <t>IV5403285</t>
  </si>
  <si>
    <t>IV5403287</t>
  </si>
  <si>
    <t>IV5403288</t>
  </si>
  <si>
    <t>IV5403289</t>
  </si>
  <si>
    <t>IV5403290</t>
  </si>
  <si>
    <t>IV5403291</t>
  </si>
  <si>
    <t>IV5403292</t>
  </si>
  <si>
    <t>IV5403293</t>
  </si>
  <si>
    <t>IV5403294</t>
  </si>
  <si>
    <t>IV5403338</t>
  </si>
  <si>
    <t>IV5403339</t>
  </si>
  <si>
    <t>IV5403340</t>
  </si>
  <si>
    <t>IV5403391</t>
  </si>
  <si>
    <t>IV5403392</t>
  </si>
  <si>
    <t>IV5403393</t>
  </si>
  <si>
    <t>บริษัท เอส.พี. พัฒนกิจ จำกัด</t>
  </si>
  <si>
    <t>หน่วยงานคลอง3</t>
  </si>
  <si>
    <t>หน่วยงานห้างฯคลอง2</t>
  </si>
  <si>
    <t>IV5310006</t>
  </si>
  <si>
    <t>IV5401028</t>
  </si>
  <si>
    <t>IV5401057</t>
  </si>
  <si>
    <t>IV5401107</t>
  </si>
  <si>
    <t>IV5402013</t>
  </si>
  <si>
    <t>IV5402014</t>
  </si>
  <si>
    <t>IV5402042</t>
  </si>
  <si>
    <t>IV5401247</t>
  </si>
  <si>
    <t>IV5401552</t>
  </si>
  <si>
    <t>IV5402141</t>
  </si>
  <si>
    <t>IV5403063</t>
  </si>
  <si>
    <t>IN1102017</t>
  </si>
  <si>
    <t>IN1102055</t>
  </si>
  <si>
    <t>IV5409131</t>
  </si>
  <si>
    <t>IV5409132</t>
  </si>
  <si>
    <t>IV5410122</t>
  </si>
  <si>
    <t>IV5404062</t>
  </si>
  <si>
    <t>IV5404143</t>
  </si>
  <si>
    <t>IV5404115</t>
  </si>
  <si>
    <t>IV5405086</t>
  </si>
  <si>
    <t>IV5405110</t>
  </si>
  <si>
    <t>No</t>
  </si>
  <si>
    <t>IN1108173</t>
  </si>
  <si>
    <t>IV5408146</t>
  </si>
  <si>
    <t>IV5408147</t>
  </si>
  <si>
    <t>IV5408148</t>
  </si>
  <si>
    <t>IN1108202</t>
  </si>
  <si>
    <t>IV5408168</t>
  </si>
  <si>
    <t>IN1108256</t>
  </si>
  <si>
    <t>IV5408214</t>
  </si>
  <si>
    <t>IN1108269</t>
  </si>
  <si>
    <t>IV5408226</t>
  </si>
  <si>
    <t>IN1108270</t>
  </si>
  <si>
    <t>IV5408227</t>
  </si>
  <si>
    <t>IN1109026</t>
  </si>
  <si>
    <t>IV5409019</t>
  </si>
  <si>
    <t>IN1109056</t>
  </si>
  <si>
    <t>IV5409045</t>
  </si>
  <si>
    <t>IN1109092</t>
  </si>
  <si>
    <t>IN1109093</t>
  </si>
  <si>
    <t>IN1109163</t>
  </si>
  <si>
    <t>IV5409080</t>
  </si>
  <si>
    <t>IV5409081</t>
  </si>
  <si>
    <t>IN1109106</t>
  </si>
  <si>
    <t>IV5409124</t>
  </si>
  <si>
    <t>IV5409125</t>
  </si>
  <si>
    <t>IV5409126</t>
  </si>
  <si>
    <t>IV5409127</t>
  </si>
  <si>
    <t>IV5409128</t>
  </si>
  <si>
    <t>IV5409129</t>
  </si>
  <si>
    <t>IN1109255</t>
  </si>
  <si>
    <t>IN1109253</t>
  </si>
  <si>
    <t>IV5409206</t>
  </si>
  <si>
    <t>IV5409208</t>
  </si>
  <si>
    <t>IV5409209</t>
  </si>
  <si>
    <t>IV5409210</t>
  </si>
  <si>
    <t>IV5409211</t>
  </si>
  <si>
    <t>IV5409216</t>
  </si>
  <si>
    <t>IN1110061</t>
  </si>
  <si>
    <t>IV5410032</t>
  </si>
  <si>
    <t>IV5410033</t>
  </si>
  <si>
    <t>IN1110099</t>
  </si>
  <si>
    <t>IV5410056</t>
  </si>
  <si>
    <t>IV5410057</t>
  </si>
  <si>
    <t>IV5410058</t>
  </si>
  <si>
    <t>IV5410059</t>
  </si>
  <si>
    <t>IV5410060</t>
  </si>
  <si>
    <t>IV5410061</t>
  </si>
  <si>
    <t>IV5410062</t>
  </si>
  <si>
    <t>IV5410063</t>
  </si>
  <si>
    <t>IN1110128</t>
  </si>
  <si>
    <t>IV5410079</t>
  </si>
  <si>
    <t>IV5410080</t>
  </si>
  <si>
    <t>IV5410081</t>
  </si>
  <si>
    <t>IV5410082</t>
  </si>
  <si>
    <t>IV5410083</t>
  </si>
  <si>
    <t>IV5410084</t>
  </si>
  <si>
    <t>IN1110182</t>
  </si>
  <si>
    <t>IV5410116</t>
  </si>
  <si>
    <t>IV5410117</t>
  </si>
  <si>
    <t>IV5410118</t>
  </si>
  <si>
    <t>IV5410119</t>
  </si>
  <si>
    <t>IV5410120</t>
  </si>
  <si>
    <t>IV5410121</t>
  </si>
  <si>
    <t>IN1110213</t>
  </si>
  <si>
    <t>IV5410155</t>
  </si>
  <si>
    <t>IV5410156</t>
  </si>
  <si>
    <t>IN1110214</t>
  </si>
  <si>
    <t>IV5411010</t>
  </si>
  <si>
    <t>IV5411011</t>
  </si>
  <si>
    <t>IV5312123</t>
  </si>
  <si>
    <t>IV1088673</t>
  </si>
  <si>
    <t>IV1088828</t>
  </si>
  <si>
    <t>IV1089167</t>
  </si>
  <si>
    <t>IV1089168</t>
  </si>
  <si>
    <t>INV5401012</t>
  </si>
  <si>
    <t>INV5401014</t>
  </si>
  <si>
    <t>INV5401016</t>
  </si>
  <si>
    <t>INV5401015</t>
  </si>
  <si>
    <t>จ่ายเงินสด</t>
  </si>
  <si>
    <t>INV5401022</t>
  </si>
  <si>
    <t>IV5403679</t>
  </si>
  <si>
    <t>IV5403708</t>
  </si>
  <si>
    <t>IV5403799</t>
  </si>
  <si>
    <t>IN 1104110</t>
  </si>
  <si>
    <t>IV5401551</t>
  </si>
  <si>
    <t>IV5401636</t>
  </si>
  <si>
    <t>IV5401646</t>
  </si>
  <si>
    <t>IV5402147</t>
  </si>
  <si>
    <t>CF0000881(ค่าขนส่ง)</t>
  </si>
  <si>
    <t>CF0001031(ค่าเช่า)</t>
  </si>
  <si>
    <t>CF00001032(ค่าเสียหาย)</t>
  </si>
  <si>
    <t>CF0001033(ค่าขนส่ง)</t>
  </si>
  <si>
    <t>CF0001102(ค่าเช่า)</t>
  </si>
  <si>
    <t>BI00000455</t>
  </si>
  <si>
    <t>BI00000456</t>
  </si>
  <si>
    <t>BI00000457</t>
  </si>
  <si>
    <t>BI00000944</t>
  </si>
  <si>
    <t>IV54/31681</t>
  </si>
  <si>
    <t>IV54/31766</t>
  </si>
  <si>
    <t>IV54/31890</t>
  </si>
  <si>
    <t>IV54/32216</t>
  </si>
  <si>
    <t>IV54/32193</t>
  </si>
  <si>
    <t>IV54/32317</t>
  </si>
  <si>
    <t>IV54/32523</t>
  </si>
  <si>
    <t>IV54/32550</t>
  </si>
  <si>
    <t>IV54/32646</t>
  </si>
  <si>
    <t>IV55/00326</t>
  </si>
  <si>
    <t>IV55/00520</t>
  </si>
  <si>
    <t>IV55/00731</t>
  </si>
  <si>
    <t>IV55/01823</t>
  </si>
  <si>
    <t>37168(ขนส่ง)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</si>
</sst>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NumberFormat="1"/>
    <xf numFmtId="0" fontId="4" fillId="4" borderId="1" xfId="0" applyFont="1" applyFill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NumberFormat="1" applyBorder="1"/>
    <xf numFmtId="0" fontId="4" fillId="4" borderId="1" xfId="0" applyFont="1" applyFill="1" applyBorder="1" applyProtection="1">
      <protection locked="0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Protection="1">
      <protection locked="0"/>
    </xf>
    <xf numFmtId="14" fontId="0" fillId="0" borderId="1" xfId="0" applyNumberFormat="1" applyBorder="1"/>
    <xf numFmtId="0" fontId="2" fillId="2" borderId="1" xfId="0" applyFont="1" applyFill="1" applyBorder="1"/>
    <xf numFmtId="0" fontId="0" fillId="0" borderId="0" xfId="0" applyBorder="1"/>
    <xf numFmtId="43" fontId="0" fillId="0" borderId="0" xfId="1" applyFont="1"/>
    <xf numFmtId="43" fontId="0" fillId="0" borderId="1" xfId="1" applyFont="1" applyBorder="1"/>
    <xf numFmtId="43" fontId="0" fillId="0" borderId="0" xfId="1" applyFont="1" applyBorder="1" applyAlignment="1">
      <alignment horizontal="left"/>
    </xf>
    <xf numFmtId="0" fontId="0" fillId="2" borderId="1" xfId="0" applyFill="1" applyBorder="1"/>
    <xf numFmtId="43" fontId="0" fillId="8" borderId="1" xfId="1" applyFont="1" applyFill="1" applyBorder="1"/>
    <xf numFmtId="43" fontId="0" fillId="9" borderId="1" xfId="1" applyFont="1" applyFill="1" applyBorder="1"/>
    <xf numFmtId="0" fontId="0" fillId="9" borderId="1" xfId="0" applyFill="1" applyBorder="1"/>
    <xf numFmtId="0" fontId="0" fillId="7" borderId="1" xfId="0" applyFill="1" applyBorder="1"/>
    <xf numFmtId="0" fontId="0" fillId="0" borderId="0" xfId="0" applyAlignment="1">
      <alignment horizontal="center"/>
    </xf>
    <xf numFmtId="4" fontId="0" fillId="0" borderId="0" xfId="0" applyNumberFormat="1"/>
    <xf numFmtId="14" fontId="0" fillId="0" borderId="0" xfId="0" applyNumberFormat="1"/>
    <xf numFmtId="2" fontId="0" fillId="0" borderId="0" xfId="0" applyNumberFormat="1"/>
    <xf numFmtId="0" fontId="7" fillId="0" borderId="1" xfId="0" applyFont="1" applyFill="1" applyBorder="1" applyAlignment="1">
      <alignment horizontal="center"/>
    </xf>
    <xf numFmtId="14" fontId="7" fillId="0" borderId="1" xfId="0" applyNumberFormat="1" applyFont="1" applyFill="1" applyBorder="1"/>
    <xf numFmtId="0" fontId="7" fillId="0" borderId="1" xfId="0" applyNumberFormat="1" applyFont="1" applyFill="1" applyBorder="1"/>
    <xf numFmtId="0" fontId="7" fillId="0" borderId="1" xfId="0" applyFont="1" applyFill="1" applyBorder="1"/>
    <xf numFmtId="0" fontId="6" fillId="6" borderId="1" xfId="0" applyFont="1" applyFill="1" applyBorder="1" applyAlignment="1">
      <alignment horizontal="center"/>
    </xf>
    <xf numFmtId="14" fontId="6" fillId="6" borderId="1" xfId="0" applyNumberFormat="1" applyFont="1" applyFill="1" applyBorder="1" applyAlignment="1">
      <alignment horizontal="center"/>
    </xf>
    <xf numFmtId="0" fontId="6" fillId="6" borderId="1" xfId="0" applyNumberFormat="1" applyFont="1" applyFill="1" applyBorder="1" applyAlignment="1">
      <alignment horizontal="center"/>
    </xf>
    <xf numFmtId="0" fontId="0" fillId="8" borderId="1" xfId="0" applyFill="1" applyBorder="1" applyAlignment="1">
      <alignment horizontal="left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3" fontId="8" fillId="2" borderId="1" xfId="1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0080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152400</xdr:rowOff>
    </xdr:from>
    <xdr:to>
      <xdr:col>6</xdr:col>
      <xdr:colOff>0</xdr:colOff>
      <xdr:row>6</xdr:row>
      <xdr:rowOff>104775</xdr:rowOff>
    </xdr:to>
    <xdr:sp macro="[0]!Report_1.Report_1" textlink="">
      <xdr:nvSpPr>
        <xdr:cNvPr id="2" name="สี่เหลี่ยมผืนผ้า 1"/>
        <xdr:cNvSpPr/>
      </xdr:nvSpPr>
      <xdr:spPr>
        <a:xfrm>
          <a:off x="5010150" y="876300"/>
          <a:ext cx="1085850" cy="314325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พิมพ์รายงาน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3"/>
  <dimension ref="A1:M337"/>
  <sheetViews>
    <sheetView tabSelected="1" workbookViewId="0">
      <selection activeCell="E10" sqref="E10"/>
    </sheetView>
  </sheetViews>
  <sheetFormatPr defaultRowHeight="15"/>
  <cols>
    <col min="1" max="1" width="12.85546875" customWidth="1"/>
    <col min="2" max="2" width="17.28515625" customWidth="1"/>
    <col min="3" max="3" width="16" customWidth="1"/>
    <col min="4" max="4" width="16.5703125" style="14" customWidth="1"/>
    <col min="5" max="5" width="12.42578125" customWidth="1"/>
    <col min="6" max="6" width="16" style="14" customWidth="1"/>
    <col min="7" max="7" width="17" customWidth="1"/>
    <col min="8" max="8" width="17.140625" customWidth="1"/>
    <col min="9" max="9" width="22.85546875" customWidth="1"/>
    <col min="10" max="21" width="17.140625" customWidth="1"/>
  </cols>
  <sheetData>
    <row r="1" spans="1:13">
      <c r="I1" s="21" t="str">
        <f>IF(C2="","C2","TaxInvoice!$F$3:$F$500")</f>
        <v>TaxInvoice!$F$3:$F$500</v>
      </c>
      <c r="K1" s="37" t="str">
        <f t="array" ref="K1:M2">IF(TRANSPOSE(B2:C4)=0,"",TRANSPOSE(B2:C4))</f>
        <v>บริษัท</v>
      </c>
      <c r="L1" s="38" t="str">
        <v>หน่วยงาน</v>
      </c>
      <c r="M1" s="38" t="str">
        <v>สถานะ</v>
      </c>
    </row>
    <row r="2" spans="1:13">
      <c r="B2" s="17" t="s">
        <v>122</v>
      </c>
      <c r="C2" s="33" t="s">
        <v>5</v>
      </c>
      <c r="D2" s="33"/>
      <c r="F2" s="18" t="s">
        <v>130</v>
      </c>
      <c r="G2" s="19">
        <f>SUM($F$9:$F$330)</f>
        <v>2725591.38</v>
      </c>
      <c r="I2" s="21" t="str">
        <f>IF(C3="","C3","TaxInvoice!$G$3:$G$500")</f>
        <v>TaxInvoice!$G$3:$G$500</v>
      </c>
      <c r="K2" s="38" t="str">
        <v>บริษัท จุฬาวิศวกรรม จำกัด</v>
      </c>
      <c r="L2" s="38" t="str">
        <v>หน่วยงานปากท่อ</v>
      </c>
      <c r="M2" s="38" t="str">
        <v>ค้างชำระ</v>
      </c>
    </row>
    <row r="3" spans="1:13">
      <c r="B3" s="17" t="s">
        <v>60</v>
      </c>
      <c r="C3" s="33" t="s">
        <v>61</v>
      </c>
      <c r="D3" s="33"/>
      <c r="F3" s="18" t="s">
        <v>131</v>
      </c>
      <c r="G3" s="20">
        <v>100000</v>
      </c>
      <c r="I3" s="21" t="str">
        <f>IF(C4="","C4","TaxInvoice!$H$3:$H$500")</f>
        <v>TaxInvoice!$H$3:$H$500</v>
      </c>
    </row>
    <row r="4" spans="1:13">
      <c r="B4" s="17" t="s">
        <v>116</v>
      </c>
      <c r="C4" s="33" t="s">
        <v>127</v>
      </c>
      <c r="D4" s="33"/>
      <c r="I4" s="21">
        <f ca="1">IF(COUNTA(C2,C3,C4)=0,COUNT(TaxInvoice!F:F),SUMPRODUCT(--($C$2&amp;$C$3&amp;$C$4=INDIRECT($I$1)&amp;INDIRECT($I$2)&amp;INDIRECT($I$3))))</f>
        <v>6</v>
      </c>
    </row>
    <row r="5" spans="1:13">
      <c r="B5" s="13"/>
      <c r="D5" s="16"/>
      <c r="I5" s="13" t="s">
        <v>132</v>
      </c>
    </row>
    <row r="6" spans="1:13">
      <c r="D6"/>
      <c r="I6" s="13"/>
    </row>
    <row r="8" spans="1:13" ht="30.75" customHeight="1">
      <c r="A8" s="39" t="s">
        <v>119</v>
      </c>
      <c r="B8" s="40" t="s">
        <v>121</v>
      </c>
      <c r="C8" s="40" t="s">
        <v>120</v>
      </c>
      <c r="D8" s="41" t="s">
        <v>123</v>
      </c>
      <c r="E8" s="41" t="s">
        <v>128</v>
      </c>
      <c r="F8" s="42" t="s">
        <v>129</v>
      </c>
    </row>
    <row r="9" spans="1:13">
      <c r="A9" s="11">
        <v>40465</v>
      </c>
      <c r="B9" s="7" t="s">
        <v>133</v>
      </c>
      <c r="C9" s="11">
        <v>40526</v>
      </c>
      <c r="D9" s="15">
        <v>27152.32</v>
      </c>
      <c r="E9" s="3">
        <f ca="1">IF(B9="","",SUMIF(Data_Tax,B9,Data_Amount))</f>
        <v>0</v>
      </c>
      <c r="F9" s="15">
        <f>IF(D9="","",G3+D9)</f>
        <v>127152.32000000001</v>
      </c>
      <c r="G9" s="13"/>
    </row>
    <row r="10" spans="1:13">
      <c r="A10" s="11">
        <v>40478</v>
      </c>
      <c r="B10" s="7" t="s">
        <v>134</v>
      </c>
      <c r="C10" s="11">
        <v>40539</v>
      </c>
      <c r="D10" s="15">
        <v>242023.3</v>
      </c>
      <c r="E10" s="3">
        <f ca="1">IF(B10="","",SUMIF(Data_Tax,B10,Data_Amount))</f>
        <v>0</v>
      </c>
      <c r="F10" s="15">
        <f>IF(D10="","",SUM(F9,D10))</f>
        <v>369175.62</v>
      </c>
      <c r="G10" s="13"/>
    </row>
    <row r="11" spans="1:13">
      <c r="A11" s="11">
        <v>40883</v>
      </c>
      <c r="B11" s="7" t="s">
        <v>136</v>
      </c>
      <c r="C11" s="11">
        <v>40883</v>
      </c>
      <c r="D11" s="15">
        <v>23292.83</v>
      </c>
      <c r="E11" s="3">
        <f ca="1">IF(B11="","",SUMIF(Data_Tax,B11,Data_Amount))</f>
        <v>0</v>
      </c>
      <c r="F11" s="15">
        <f t="shared" ref="F11:F74" si="0">IF(D11="","",SUM(F10,D11))</f>
        <v>392468.45</v>
      </c>
      <c r="G11" s="13"/>
    </row>
    <row r="12" spans="1:13">
      <c r="A12" s="11">
        <v>40883</v>
      </c>
      <c r="B12" s="7" t="s">
        <v>137</v>
      </c>
      <c r="C12" s="11">
        <v>40883</v>
      </c>
      <c r="D12" s="15">
        <v>15245.36</v>
      </c>
      <c r="E12" s="3">
        <f ca="1">IF(B12="","",SUMIF(Data_Tax,B12,Data_Amount))</f>
        <v>0</v>
      </c>
      <c r="F12" s="15">
        <f t="shared" si="0"/>
        <v>407713.81</v>
      </c>
      <c r="G12" s="13"/>
    </row>
    <row r="13" spans="1:13">
      <c r="A13" s="11">
        <v>40891</v>
      </c>
      <c r="B13" s="7" t="s">
        <v>138</v>
      </c>
      <c r="C13" s="11">
        <v>40891</v>
      </c>
      <c r="D13" s="15">
        <v>226037.5</v>
      </c>
      <c r="E13" s="3">
        <f ca="1">IF(B13="","",SUMIF(Data_Tax,B13,Data_Amount))</f>
        <v>0</v>
      </c>
      <c r="F13" s="15">
        <f t="shared" si="0"/>
        <v>633751.31000000006</v>
      </c>
      <c r="G13" s="13"/>
    </row>
    <row r="14" spans="1:13">
      <c r="A14" s="11">
        <v>40898</v>
      </c>
      <c r="B14" s="7" t="s">
        <v>139</v>
      </c>
      <c r="C14" s="11">
        <v>40898</v>
      </c>
      <c r="D14" s="15">
        <v>161578.56</v>
      </c>
      <c r="E14" s="3">
        <f ca="1">IF(B14="","",SUMIF(Data_Tax,B14,Data_Amount))</f>
        <v>0</v>
      </c>
      <c r="F14" s="15">
        <f t="shared" si="0"/>
        <v>795329.87000000011</v>
      </c>
      <c r="G14" s="13"/>
    </row>
    <row r="15" spans="1:13">
      <c r="A15" s="11"/>
      <c r="B15" s="7"/>
      <c r="C15" s="11"/>
      <c r="D15" s="15"/>
      <c r="E15" s="3" t="str">
        <f>IF(B15="","",SUMIF(Data_Tax,B15,Data_Amount))</f>
        <v/>
      </c>
      <c r="F15" s="15" t="str">
        <f t="shared" si="0"/>
        <v/>
      </c>
      <c r="G15" s="13"/>
    </row>
    <row r="16" spans="1:13">
      <c r="A16" s="11"/>
      <c r="B16" s="7"/>
      <c r="C16" s="11"/>
      <c r="D16" s="15"/>
      <c r="E16" s="3" t="str">
        <f>IF(B16="","",SUMIF(Data_Tax,B16,Data_Amount))</f>
        <v/>
      </c>
      <c r="F16" s="15" t="str">
        <f t="shared" si="0"/>
        <v/>
      </c>
      <c r="G16" s="13"/>
    </row>
    <row r="17" spans="1:7">
      <c r="A17" s="11"/>
      <c r="B17" s="7"/>
      <c r="C17" s="11"/>
      <c r="D17" s="15"/>
      <c r="E17" s="3" t="str">
        <f>IF(B17="","",SUMIF(Data_Tax,B17,Data_Amount))</f>
        <v/>
      </c>
      <c r="F17" s="15" t="str">
        <f t="shared" si="0"/>
        <v/>
      </c>
      <c r="G17" s="13"/>
    </row>
    <row r="18" spans="1:7">
      <c r="A18" s="11"/>
      <c r="B18" s="7"/>
      <c r="C18" s="11"/>
      <c r="D18" s="15"/>
      <c r="E18" s="3" t="str">
        <f>IF(B18="","",SUMIF(Data_Tax,B18,Data_Amount))</f>
        <v/>
      </c>
      <c r="F18" s="15" t="str">
        <f t="shared" si="0"/>
        <v/>
      </c>
      <c r="G18" s="13"/>
    </row>
    <row r="19" spans="1:7">
      <c r="A19" s="11"/>
      <c r="B19" s="7"/>
      <c r="C19" s="11"/>
      <c r="D19" s="15"/>
      <c r="E19" s="3" t="str">
        <f>IF(B19="","",SUMIF(Data_Tax,B19,Data_Amount))</f>
        <v/>
      </c>
      <c r="F19" s="15" t="str">
        <f t="shared" si="0"/>
        <v/>
      </c>
      <c r="G19" s="13"/>
    </row>
    <row r="20" spans="1:7">
      <c r="A20" s="11"/>
      <c r="B20" s="7"/>
      <c r="C20" s="11"/>
      <c r="D20" s="15"/>
      <c r="E20" s="3" t="str">
        <f>IF(B20="","",SUMIF(Data_Tax,B20,Data_Amount))</f>
        <v/>
      </c>
      <c r="F20" s="15" t="str">
        <f t="shared" si="0"/>
        <v/>
      </c>
      <c r="G20" s="13"/>
    </row>
    <row r="21" spans="1:7">
      <c r="A21" s="11"/>
      <c r="B21" s="7"/>
      <c r="C21" s="11"/>
      <c r="D21" s="15"/>
      <c r="E21" s="3" t="str">
        <f>IF(B21="","",SUMIF(Data_Tax,B21,Data_Amount))</f>
        <v/>
      </c>
      <c r="F21" s="15" t="str">
        <f t="shared" si="0"/>
        <v/>
      </c>
      <c r="G21" s="13"/>
    </row>
    <row r="22" spans="1:7">
      <c r="A22" s="11"/>
      <c r="B22" s="7"/>
      <c r="C22" s="11"/>
      <c r="D22" s="15"/>
      <c r="E22" s="3" t="str">
        <f>IF(B22="","",SUMIF(Data_Tax,B22,Data_Amount))</f>
        <v/>
      </c>
      <c r="F22" s="15" t="str">
        <f t="shared" si="0"/>
        <v/>
      </c>
      <c r="G22" s="13"/>
    </row>
    <row r="23" spans="1:7">
      <c r="A23" s="11"/>
      <c r="B23" s="7"/>
      <c r="C23" s="11"/>
      <c r="D23" s="15"/>
      <c r="E23" s="3" t="str">
        <f>IF(B23="","",SUMIF(Data_Tax,B23,Data_Amount))</f>
        <v/>
      </c>
      <c r="F23" s="15" t="str">
        <f t="shared" si="0"/>
        <v/>
      </c>
      <c r="G23" s="13"/>
    </row>
    <row r="24" spans="1:7">
      <c r="A24" s="11"/>
      <c r="B24" s="7"/>
      <c r="C24" s="11"/>
      <c r="D24" s="15"/>
      <c r="E24" s="3" t="str">
        <f>IF(B24="","",SUMIF(Data_Tax,B24,Data_Amount))</f>
        <v/>
      </c>
      <c r="F24" s="15" t="str">
        <f t="shared" si="0"/>
        <v/>
      </c>
      <c r="G24" s="13"/>
    </row>
    <row r="25" spans="1:7">
      <c r="A25" s="11"/>
      <c r="B25" s="7"/>
      <c r="C25" s="11"/>
      <c r="D25" s="15"/>
      <c r="E25" s="3" t="str">
        <f>IF(B25="","",SUMIF(Data_Tax,B25,Data_Amount))</f>
        <v/>
      </c>
      <c r="F25" s="15" t="str">
        <f t="shared" si="0"/>
        <v/>
      </c>
      <c r="G25" s="13"/>
    </row>
    <row r="26" spans="1:7">
      <c r="A26" s="11"/>
      <c r="B26" s="7"/>
      <c r="C26" s="11"/>
      <c r="D26" s="15"/>
      <c r="E26" s="3" t="str">
        <f>IF(B26="","",SUMIF(Data_Tax,B26,Data_Amount))</f>
        <v/>
      </c>
      <c r="F26" s="15" t="str">
        <f t="shared" si="0"/>
        <v/>
      </c>
      <c r="G26" s="13"/>
    </row>
    <row r="27" spans="1:7">
      <c r="A27" s="11"/>
      <c r="B27" s="7"/>
      <c r="C27" s="11"/>
      <c r="D27" s="15"/>
      <c r="E27" s="3" t="str">
        <f>IF(B27="","",SUMIF(Data_Tax,B27,Data_Amount))</f>
        <v/>
      </c>
      <c r="F27" s="15" t="str">
        <f t="shared" si="0"/>
        <v/>
      </c>
      <c r="G27" s="13"/>
    </row>
    <row r="28" spans="1:7">
      <c r="A28" s="11"/>
      <c r="B28" s="7"/>
      <c r="C28" s="11"/>
      <c r="D28" s="15"/>
      <c r="E28" s="3" t="str">
        <f>IF(B28="","",SUMIF(Data_Tax,B28,Data_Amount))</f>
        <v/>
      </c>
      <c r="F28" s="15" t="str">
        <f t="shared" si="0"/>
        <v/>
      </c>
      <c r="G28" s="13"/>
    </row>
    <row r="29" spans="1:7">
      <c r="A29" s="11"/>
      <c r="B29" s="7"/>
      <c r="C29" s="11"/>
      <c r="D29" s="15"/>
      <c r="E29" s="3" t="str">
        <f>IF(B29="","",SUMIF(Data_Tax,B29,Data_Amount))</f>
        <v/>
      </c>
      <c r="F29" s="15" t="str">
        <f t="shared" si="0"/>
        <v/>
      </c>
      <c r="G29" s="13"/>
    </row>
    <row r="30" spans="1:7">
      <c r="A30" s="11"/>
      <c r="B30" s="7"/>
      <c r="C30" s="11"/>
      <c r="D30" s="15"/>
      <c r="E30" s="3" t="str">
        <f>IF(B30="","",SUMIF(Data_Tax,B30,Data_Amount))</f>
        <v/>
      </c>
      <c r="F30" s="15" t="str">
        <f t="shared" si="0"/>
        <v/>
      </c>
      <c r="G30" s="13"/>
    </row>
    <row r="31" spans="1:7">
      <c r="A31" s="11"/>
      <c r="B31" s="7"/>
      <c r="C31" s="11"/>
      <c r="D31" s="15"/>
      <c r="E31" s="3" t="str">
        <f>IF(B31="","",SUMIF(Data_Tax,B31,Data_Amount))</f>
        <v/>
      </c>
      <c r="F31" s="15" t="str">
        <f t="shared" si="0"/>
        <v/>
      </c>
      <c r="G31" s="13"/>
    </row>
    <row r="32" spans="1:7">
      <c r="A32" s="11"/>
      <c r="B32" s="7"/>
      <c r="C32" s="11"/>
      <c r="D32" s="15"/>
      <c r="E32" s="3" t="str">
        <f>IF(B32="","",SUMIF(Data_Tax,B32,Data_Amount))</f>
        <v/>
      </c>
      <c r="F32" s="15" t="str">
        <f t="shared" si="0"/>
        <v/>
      </c>
      <c r="G32" s="13"/>
    </row>
    <row r="33" spans="1:7">
      <c r="A33" s="11"/>
      <c r="B33" s="7"/>
      <c r="C33" s="11"/>
      <c r="D33" s="15"/>
      <c r="E33" s="3" t="str">
        <f>IF(B33="","",SUMIF(Data_Tax,B33,Data_Amount))</f>
        <v/>
      </c>
      <c r="F33" s="15" t="str">
        <f t="shared" si="0"/>
        <v/>
      </c>
      <c r="G33" s="13"/>
    </row>
    <row r="34" spans="1:7">
      <c r="A34" s="11"/>
      <c r="B34" s="7"/>
      <c r="C34" s="11"/>
      <c r="D34" s="15"/>
      <c r="E34" s="3" t="str">
        <f>IF(B34="","",SUMIF(Data_Tax,B34,Data_Amount))</f>
        <v/>
      </c>
      <c r="F34" s="15" t="str">
        <f t="shared" si="0"/>
        <v/>
      </c>
      <c r="G34" s="13"/>
    </row>
    <row r="35" spans="1:7">
      <c r="A35" s="11"/>
      <c r="B35" s="7"/>
      <c r="C35" s="11"/>
      <c r="D35" s="15"/>
      <c r="E35" s="3" t="str">
        <f>IF(B35="","",SUMIF(Data_Tax,B35,Data_Amount))</f>
        <v/>
      </c>
      <c r="F35" s="15" t="str">
        <f t="shared" si="0"/>
        <v/>
      </c>
      <c r="G35" s="13"/>
    </row>
    <row r="36" spans="1:7">
      <c r="A36" s="11"/>
      <c r="B36" s="7"/>
      <c r="C36" s="11"/>
      <c r="D36" s="15"/>
      <c r="E36" s="3" t="str">
        <f>IF(B36="","",SUMIF(Data_Tax,B36,Data_Amount))</f>
        <v/>
      </c>
      <c r="F36" s="15" t="str">
        <f t="shared" si="0"/>
        <v/>
      </c>
      <c r="G36" s="13"/>
    </row>
    <row r="37" spans="1:7">
      <c r="A37" s="11"/>
      <c r="B37" s="7"/>
      <c r="C37" s="11"/>
      <c r="D37" s="15"/>
      <c r="E37" s="3" t="str">
        <f>IF(B37="","",SUMIF(Data_Tax,B37,Data_Amount))</f>
        <v/>
      </c>
      <c r="F37" s="15" t="str">
        <f t="shared" si="0"/>
        <v/>
      </c>
      <c r="G37" s="13"/>
    </row>
    <row r="38" spans="1:7">
      <c r="A38" s="11"/>
      <c r="B38" s="7"/>
      <c r="C38" s="11"/>
      <c r="D38" s="15"/>
      <c r="E38" s="3" t="str">
        <f>IF(B38="","",SUMIF(Data_Tax,B38,Data_Amount))</f>
        <v/>
      </c>
      <c r="F38" s="15" t="str">
        <f t="shared" si="0"/>
        <v/>
      </c>
      <c r="G38" s="13"/>
    </row>
    <row r="39" spans="1:7">
      <c r="A39" s="11"/>
      <c r="B39" s="7"/>
      <c r="C39" s="11"/>
      <c r="D39" s="15"/>
      <c r="E39" s="3" t="str">
        <f>IF(B39="","",SUMIF(Data_Tax,B39,Data_Amount))</f>
        <v/>
      </c>
      <c r="F39" s="15" t="str">
        <f t="shared" si="0"/>
        <v/>
      </c>
      <c r="G39" s="13"/>
    </row>
    <row r="40" spans="1:7">
      <c r="A40" s="11"/>
      <c r="B40" s="7"/>
      <c r="C40" s="11"/>
      <c r="D40" s="15"/>
      <c r="E40" s="3" t="str">
        <f>IF(B40="","",SUMIF(Data_Tax,B40,Data_Amount))</f>
        <v/>
      </c>
      <c r="F40" s="15" t="str">
        <f t="shared" si="0"/>
        <v/>
      </c>
      <c r="G40" s="13"/>
    </row>
    <row r="41" spans="1:7">
      <c r="A41" s="11"/>
      <c r="B41" s="7"/>
      <c r="C41" s="11"/>
      <c r="D41" s="15"/>
      <c r="E41" s="3" t="str">
        <f>IF(B41="","",SUMIF(Data_Tax,B41,Data_Amount))</f>
        <v/>
      </c>
      <c r="F41" s="15" t="str">
        <f t="shared" si="0"/>
        <v/>
      </c>
      <c r="G41" s="13"/>
    </row>
    <row r="42" spans="1:7">
      <c r="A42" s="11"/>
      <c r="B42" s="7"/>
      <c r="C42" s="11"/>
      <c r="D42" s="15"/>
      <c r="E42" s="3" t="str">
        <f>IF(B42="","",SUMIF(Data_Tax,B42,Data_Amount))</f>
        <v/>
      </c>
      <c r="F42" s="15" t="str">
        <f t="shared" si="0"/>
        <v/>
      </c>
      <c r="G42" s="13"/>
    </row>
    <row r="43" spans="1:7">
      <c r="A43" s="11"/>
      <c r="B43" s="7"/>
      <c r="C43" s="11"/>
      <c r="D43" s="15"/>
      <c r="E43" s="3" t="str">
        <f>IF(B43="","",SUMIF(Data_Tax,B43,Data_Amount))</f>
        <v/>
      </c>
      <c r="F43" s="15" t="str">
        <f t="shared" si="0"/>
        <v/>
      </c>
      <c r="G43" s="13"/>
    </row>
    <row r="44" spans="1:7">
      <c r="A44" s="11"/>
      <c r="B44" s="7"/>
      <c r="C44" s="11"/>
      <c r="D44" s="15"/>
      <c r="E44" s="3" t="str">
        <f>IF(B44="","",SUMIF(Data_Tax,B44,Data_Amount))</f>
        <v/>
      </c>
      <c r="F44" s="15" t="str">
        <f t="shared" si="0"/>
        <v/>
      </c>
      <c r="G44" s="13"/>
    </row>
    <row r="45" spans="1:7">
      <c r="A45" s="11"/>
      <c r="B45" s="7"/>
      <c r="C45" s="11"/>
      <c r="D45" s="15"/>
      <c r="E45" s="3" t="str">
        <f>IF(B45="","",SUMIF(Data_Tax,B45,Data_Amount))</f>
        <v/>
      </c>
      <c r="F45" s="15" t="str">
        <f t="shared" si="0"/>
        <v/>
      </c>
      <c r="G45" s="13"/>
    </row>
    <row r="46" spans="1:7">
      <c r="A46" s="11"/>
      <c r="B46" s="7"/>
      <c r="C46" s="11"/>
      <c r="D46" s="15"/>
      <c r="E46" s="3" t="str">
        <f>IF(B46="","",SUMIF(Data_Tax,B46,Data_Amount))</f>
        <v/>
      </c>
      <c r="F46" s="15" t="str">
        <f t="shared" si="0"/>
        <v/>
      </c>
      <c r="G46" s="13"/>
    </row>
    <row r="47" spans="1:7">
      <c r="A47" s="11"/>
      <c r="B47" s="7"/>
      <c r="C47" s="11"/>
      <c r="D47" s="15"/>
      <c r="E47" s="3" t="str">
        <f>IF(B47="","",SUMIF(Data_Tax,B47,Data_Amount))</f>
        <v/>
      </c>
      <c r="F47" s="15" t="str">
        <f t="shared" si="0"/>
        <v/>
      </c>
      <c r="G47" s="13"/>
    </row>
    <row r="48" spans="1:7">
      <c r="A48" s="11"/>
      <c r="B48" s="7"/>
      <c r="C48" s="11"/>
      <c r="D48" s="15"/>
      <c r="E48" s="3" t="str">
        <f>IF(B48="","",SUMIF(Data_Tax,B48,Data_Amount))</f>
        <v/>
      </c>
      <c r="F48" s="15" t="str">
        <f t="shared" si="0"/>
        <v/>
      </c>
      <c r="G48" s="13"/>
    </row>
    <row r="49" spans="1:7">
      <c r="A49" s="11"/>
      <c r="B49" s="7"/>
      <c r="C49" s="11"/>
      <c r="D49" s="15"/>
      <c r="E49" s="3" t="str">
        <f>IF(B49="","",SUMIF(Data_Tax,B49,Data_Amount))</f>
        <v/>
      </c>
      <c r="F49" s="15" t="str">
        <f t="shared" si="0"/>
        <v/>
      </c>
      <c r="G49" s="13"/>
    </row>
    <row r="50" spans="1:7">
      <c r="A50" s="11"/>
      <c r="B50" s="7"/>
      <c r="C50" s="11"/>
      <c r="D50" s="15"/>
      <c r="E50" s="3" t="str">
        <f>IF(B50="","",SUMIF(Data_Tax,B50,Data_Amount))</f>
        <v/>
      </c>
      <c r="F50" s="15" t="str">
        <f t="shared" si="0"/>
        <v/>
      </c>
      <c r="G50" s="13"/>
    </row>
    <row r="51" spans="1:7">
      <c r="A51" s="11"/>
      <c r="B51" s="7"/>
      <c r="C51" s="11"/>
      <c r="D51" s="15"/>
      <c r="E51" s="3" t="str">
        <f>IF(B51="","",SUMIF(Data_Tax,B51,Data_Amount))</f>
        <v/>
      </c>
      <c r="F51" s="15" t="str">
        <f t="shared" si="0"/>
        <v/>
      </c>
      <c r="G51" s="13"/>
    </row>
    <row r="52" spans="1:7">
      <c r="A52" s="11"/>
      <c r="B52" s="7"/>
      <c r="C52" s="11"/>
      <c r="D52" s="15"/>
      <c r="E52" s="3" t="str">
        <f>IF(B52="","",SUMIF(Data_Tax,B52,Data_Amount))</f>
        <v/>
      </c>
      <c r="F52" s="15" t="str">
        <f t="shared" si="0"/>
        <v/>
      </c>
      <c r="G52" s="13"/>
    </row>
    <row r="53" spans="1:7">
      <c r="A53" s="11"/>
      <c r="B53" s="7"/>
      <c r="C53" s="11"/>
      <c r="D53" s="15"/>
      <c r="E53" s="3" t="str">
        <f>IF(B53="","",SUMIF(Data_Tax,B53,Data_Amount))</f>
        <v/>
      </c>
      <c r="F53" s="15" t="str">
        <f t="shared" si="0"/>
        <v/>
      </c>
      <c r="G53" s="13"/>
    </row>
    <row r="54" spans="1:7">
      <c r="A54" s="11"/>
      <c r="B54" s="7"/>
      <c r="C54" s="11"/>
      <c r="D54" s="15"/>
      <c r="E54" s="3" t="str">
        <f>IF(B54="","",SUMIF(Data_Tax,B54,Data_Amount))</f>
        <v/>
      </c>
      <c r="F54" s="15" t="str">
        <f t="shared" si="0"/>
        <v/>
      </c>
      <c r="G54" s="13"/>
    </row>
    <row r="55" spans="1:7">
      <c r="A55" s="11"/>
      <c r="B55" s="7"/>
      <c r="C55" s="11"/>
      <c r="D55" s="15"/>
      <c r="E55" s="3" t="str">
        <f>IF(B55="","",SUMIF(Data_Tax,B55,Data_Amount))</f>
        <v/>
      </c>
      <c r="F55" s="15" t="str">
        <f t="shared" si="0"/>
        <v/>
      </c>
      <c r="G55" s="13"/>
    </row>
    <row r="56" spans="1:7">
      <c r="A56" s="11"/>
      <c r="B56" s="7"/>
      <c r="C56" s="11"/>
      <c r="D56" s="15"/>
      <c r="E56" s="3" t="str">
        <f>IF(B56="","",SUMIF(Data_Tax,B56,Data_Amount))</f>
        <v/>
      </c>
      <c r="F56" s="15" t="str">
        <f t="shared" si="0"/>
        <v/>
      </c>
      <c r="G56" s="13"/>
    </row>
    <row r="57" spans="1:7">
      <c r="A57" s="11"/>
      <c r="B57" s="7"/>
      <c r="C57" s="11"/>
      <c r="D57" s="15"/>
      <c r="E57" s="3" t="str">
        <f>IF(B57="","",SUMIF(Data_Tax,B57,Data_Amount))</f>
        <v/>
      </c>
      <c r="F57" s="15" t="str">
        <f t="shared" si="0"/>
        <v/>
      </c>
      <c r="G57" s="13"/>
    </row>
    <row r="58" spans="1:7">
      <c r="A58" s="11"/>
      <c r="B58" s="7"/>
      <c r="C58" s="11"/>
      <c r="D58" s="15"/>
      <c r="E58" s="3" t="str">
        <f>IF(B58="","",SUMIF(Data_Tax,B58,Data_Amount))</f>
        <v/>
      </c>
      <c r="F58" s="15" t="str">
        <f t="shared" si="0"/>
        <v/>
      </c>
      <c r="G58" s="13"/>
    </row>
    <row r="59" spans="1:7">
      <c r="A59" s="11"/>
      <c r="B59" s="7"/>
      <c r="C59" s="11"/>
      <c r="D59" s="15"/>
      <c r="E59" s="3" t="str">
        <f>IF(B59="","",SUMIF(Data_Tax,B59,Data_Amount))</f>
        <v/>
      </c>
      <c r="F59" s="15" t="str">
        <f t="shared" si="0"/>
        <v/>
      </c>
      <c r="G59" s="13"/>
    </row>
    <row r="60" spans="1:7">
      <c r="A60" s="11"/>
      <c r="B60" s="7"/>
      <c r="C60" s="11"/>
      <c r="D60" s="15"/>
      <c r="E60" s="3" t="str">
        <f>IF(B60="","",SUMIF(Data_Tax,B60,Data_Amount))</f>
        <v/>
      </c>
      <c r="F60" s="15" t="str">
        <f t="shared" si="0"/>
        <v/>
      </c>
      <c r="G60" s="13"/>
    </row>
    <row r="61" spans="1:7">
      <c r="A61" s="11"/>
      <c r="B61" s="7"/>
      <c r="C61" s="11"/>
      <c r="D61" s="15"/>
      <c r="E61" s="3" t="str">
        <f>IF(B61="","",SUMIF(Data_Tax,B61,Data_Amount))</f>
        <v/>
      </c>
      <c r="F61" s="15" t="str">
        <f t="shared" si="0"/>
        <v/>
      </c>
      <c r="G61" s="13"/>
    </row>
    <row r="62" spans="1:7">
      <c r="A62" s="11"/>
      <c r="B62" s="7"/>
      <c r="C62" s="11"/>
      <c r="D62" s="15"/>
      <c r="E62" s="3" t="str">
        <f>IF(B62="","",SUMIF(Data_Tax,B62,Data_Amount))</f>
        <v/>
      </c>
      <c r="F62" s="15" t="str">
        <f t="shared" si="0"/>
        <v/>
      </c>
      <c r="G62" s="13"/>
    </row>
    <row r="63" spans="1:7">
      <c r="A63" s="11"/>
      <c r="B63" s="7"/>
      <c r="C63" s="11"/>
      <c r="D63" s="15"/>
      <c r="E63" s="3" t="str">
        <f>IF(B63="","",SUMIF(Data_Tax,B63,Data_Amount))</f>
        <v/>
      </c>
      <c r="F63" s="15" t="str">
        <f t="shared" si="0"/>
        <v/>
      </c>
      <c r="G63" s="13"/>
    </row>
    <row r="64" spans="1:7">
      <c r="A64" s="11"/>
      <c r="B64" s="7"/>
      <c r="C64" s="11"/>
      <c r="D64" s="15"/>
      <c r="E64" s="3" t="str">
        <f>IF(B64="","",SUMIF(Data_Tax,B64,Data_Amount))</f>
        <v/>
      </c>
      <c r="F64" s="15" t="str">
        <f t="shared" si="0"/>
        <v/>
      </c>
      <c r="G64" s="13"/>
    </row>
    <row r="65" spans="1:7">
      <c r="A65" s="11"/>
      <c r="B65" s="7"/>
      <c r="C65" s="11"/>
      <c r="D65" s="15"/>
      <c r="E65" s="3" t="str">
        <f>IF(B65="","",SUMIF(Data_Tax,B65,Data_Amount))</f>
        <v/>
      </c>
      <c r="F65" s="15" t="str">
        <f t="shared" si="0"/>
        <v/>
      </c>
      <c r="G65" s="13"/>
    </row>
    <row r="66" spans="1:7">
      <c r="A66" s="11"/>
      <c r="B66" s="7"/>
      <c r="C66" s="11"/>
      <c r="D66" s="15"/>
      <c r="E66" s="3" t="str">
        <f>IF(B66="","",SUMIF(Data_Tax,B66,Data_Amount))</f>
        <v/>
      </c>
      <c r="F66" s="15" t="str">
        <f t="shared" si="0"/>
        <v/>
      </c>
      <c r="G66" s="13"/>
    </row>
    <row r="67" spans="1:7">
      <c r="A67" s="11"/>
      <c r="B67" s="7"/>
      <c r="C67" s="11"/>
      <c r="D67" s="15"/>
      <c r="E67" s="3" t="str">
        <f>IF(B67="","",SUMIF(Data_Tax,B67,Data_Amount))</f>
        <v/>
      </c>
      <c r="F67" s="15" t="str">
        <f t="shared" si="0"/>
        <v/>
      </c>
      <c r="G67" s="13"/>
    </row>
    <row r="68" spans="1:7">
      <c r="A68" s="11"/>
      <c r="B68" s="7"/>
      <c r="C68" s="11"/>
      <c r="D68" s="15"/>
      <c r="E68" s="3" t="str">
        <f>IF(B68="","",SUMIF(Data_Tax,B68,Data_Amount))</f>
        <v/>
      </c>
      <c r="F68" s="15" t="str">
        <f t="shared" si="0"/>
        <v/>
      </c>
      <c r="G68" s="13"/>
    </row>
    <row r="69" spans="1:7">
      <c r="A69" s="11"/>
      <c r="B69" s="7"/>
      <c r="C69" s="11"/>
      <c r="D69" s="15"/>
      <c r="E69" s="3" t="str">
        <f>IF(B69="","",SUMIF(Data_Tax,B69,Data_Amount))</f>
        <v/>
      </c>
      <c r="F69" s="15" t="str">
        <f t="shared" si="0"/>
        <v/>
      </c>
      <c r="G69" s="13"/>
    </row>
    <row r="70" spans="1:7">
      <c r="A70" s="11"/>
      <c r="B70" s="7"/>
      <c r="C70" s="11"/>
      <c r="D70" s="15"/>
      <c r="E70" s="3" t="str">
        <f>IF(B70="","",SUMIF(Data_Tax,B70,Data_Amount))</f>
        <v/>
      </c>
      <c r="F70" s="15" t="str">
        <f t="shared" si="0"/>
        <v/>
      </c>
      <c r="G70" s="13"/>
    </row>
    <row r="71" spans="1:7">
      <c r="A71" s="11"/>
      <c r="B71" s="7"/>
      <c r="C71" s="11"/>
      <c r="D71" s="15"/>
      <c r="E71" s="3" t="str">
        <f>IF(B71="","",SUMIF(Data_Tax,B71,Data_Amount))</f>
        <v/>
      </c>
      <c r="F71" s="15" t="str">
        <f t="shared" si="0"/>
        <v/>
      </c>
      <c r="G71" s="13"/>
    </row>
    <row r="72" spans="1:7">
      <c r="A72" s="11"/>
      <c r="B72" s="7"/>
      <c r="C72" s="11"/>
      <c r="D72" s="15"/>
      <c r="E72" s="3" t="str">
        <f>IF(B72="","",SUMIF(Data_Tax,B72,Data_Amount))</f>
        <v/>
      </c>
      <c r="F72" s="15" t="str">
        <f t="shared" si="0"/>
        <v/>
      </c>
      <c r="G72" s="13"/>
    </row>
    <row r="73" spans="1:7">
      <c r="A73" s="11"/>
      <c r="B73" s="7"/>
      <c r="C73" s="11"/>
      <c r="D73" s="15"/>
      <c r="E73" s="3" t="str">
        <f>IF(B73="","",SUMIF(Data_Tax,B73,Data_Amount))</f>
        <v/>
      </c>
      <c r="F73" s="15" t="str">
        <f t="shared" si="0"/>
        <v/>
      </c>
      <c r="G73" s="13"/>
    </row>
    <row r="74" spans="1:7">
      <c r="A74" s="11"/>
      <c r="B74" s="7"/>
      <c r="C74" s="11"/>
      <c r="D74" s="15"/>
      <c r="E74" s="3" t="str">
        <f>IF(B74="","",SUMIF(Data_Tax,B74,Data_Amount))</f>
        <v/>
      </c>
      <c r="F74" s="15" t="str">
        <f t="shared" si="0"/>
        <v/>
      </c>
      <c r="G74" s="13"/>
    </row>
    <row r="75" spans="1:7">
      <c r="A75" s="11"/>
      <c r="B75" s="7"/>
      <c r="C75" s="11"/>
      <c r="D75" s="15"/>
      <c r="E75" s="3" t="str">
        <f>IF(B75="","",SUMIF(Data_Tax,B75,Data_Amount))</f>
        <v/>
      </c>
      <c r="F75" s="15" t="str">
        <f t="shared" ref="F75:F138" si="1">IF(D75="","",SUM(F74,D75))</f>
        <v/>
      </c>
      <c r="G75" s="13"/>
    </row>
    <row r="76" spans="1:7">
      <c r="A76" s="11"/>
      <c r="B76" s="7"/>
      <c r="C76" s="11"/>
      <c r="D76" s="15"/>
      <c r="E76" s="3" t="str">
        <f>IF(B76="","",SUMIF(Data_Tax,B76,Data_Amount))</f>
        <v/>
      </c>
      <c r="F76" s="15" t="str">
        <f t="shared" si="1"/>
        <v/>
      </c>
      <c r="G76" s="13"/>
    </row>
    <row r="77" spans="1:7">
      <c r="A77" s="11"/>
      <c r="B77" s="7"/>
      <c r="C77" s="11"/>
      <c r="D77" s="15"/>
      <c r="E77" s="3" t="str">
        <f>IF(B77="","",SUMIF(Data_Tax,B77,Data_Amount))</f>
        <v/>
      </c>
      <c r="F77" s="15" t="str">
        <f t="shared" si="1"/>
        <v/>
      </c>
      <c r="G77" s="13"/>
    </row>
    <row r="78" spans="1:7">
      <c r="A78" s="11"/>
      <c r="B78" s="7"/>
      <c r="C78" s="11"/>
      <c r="D78" s="15"/>
      <c r="E78" s="3" t="str">
        <f>IF(B78="","",SUMIF(Data_Tax,B78,Data_Amount))</f>
        <v/>
      </c>
      <c r="F78" s="15" t="str">
        <f t="shared" si="1"/>
        <v/>
      </c>
      <c r="G78" s="13"/>
    </row>
    <row r="79" spans="1:7">
      <c r="A79" s="11"/>
      <c r="B79" s="7"/>
      <c r="C79" s="11"/>
      <c r="D79" s="15"/>
      <c r="E79" s="3" t="str">
        <f>IF(B79="","",SUMIF(Data_Tax,B79,Data_Amount))</f>
        <v/>
      </c>
      <c r="F79" s="15" t="str">
        <f t="shared" si="1"/>
        <v/>
      </c>
      <c r="G79" s="13"/>
    </row>
    <row r="80" spans="1:7">
      <c r="A80" s="11"/>
      <c r="B80" s="7"/>
      <c r="C80" s="11"/>
      <c r="D80" s="15"/>
      <c r="E80" s="3" t="str">
        <f>IF(B80="","",SUMIF(Data_Tax,B80,Data_Amount))</f>
        <v/>
      </c>
      <c r="F80" s="15" t="str">
        <f t="shared" si="1"/>
        <v/>
      </c>
      <c r="G80" s="13"/>
    </row>
    <row r="81" spans="1:7">
      <c r="A81" s="11"/>
      <c r="B81" s="7"/>
      <c r="C81" s="11"/>
      <c r="D81" s="15"/>
      <c r="E81" s="3" t="str">
        <f>IF(B81="","",SUMIF(Data_Tax,B81,Data_Amount))</f>
        <v/>
      </c>
      <c r="F81" s="15" t="str">
        <f t="shared" si="1"/>
        <v/>
      </c>
      <c r="G81" s="13"/>
    </row>
    <row r="82" spans="1:7">
      <c r="A82" s="11"/>
      <c r="B82" s="7"/>
      <c r="C82" s="11"/>
      <c r="D82" s="15"/>
      <c r="E82" s="3" t="str">
        <f>IF(B82="","",SUMIF(Data_Tax,B82,Data_Amount))</f>
        <v/>
      </c>
      <c r="F82" s="15" t="str">
        <f t="shared" si="1"/>
        <v/>
      </c>
      <c r="G82" s="13"/>
    </row>
    <row r="83" spans="1:7">
      <c r="A83" s="11"/>
      <c r="B83" s="7"/>
      <c r="C83" s="11"/>
      <c r="D83" s="15"/>
      <c r="E83" s="3" t="str">
        <f>IF(B83="","",SUMIF(Data_Tax,B83,Data_Amount))</f>
        <v/>
      </c>
      <c r="F83" s="15" t="str">
        <f t="shared" si="1"/>
        <v/>
      </c>
      <c r="G83" s="13"/>
    </row>
    <row r="84" spans="1:7">
      <c r="A84" s="11"/>
      <c r="B84" s="7"/>
      <c r="C84" s="11"/>
      <c r="D84" s="15"/>
      <c r="E84" s="3" t="str">
        <f>IF(B84="","",SUMIF(Data_Tax,B84,Data_Amount))</f>
        <v/>
      </c>
      <c r="F84" s="15" t="str">
        <f t="shared" si="1"/>
        <v/>
      </c>
      <c r="G84" s="13"/>
    </row>
    <row r="85" spans="1:7">
      <c r="A85" s="11"/>
      <c r="B85" s="7"/>
      <c r="C85" s="11"/>
      <c r="D85" s="15"/>
      <c r="E85" s="3" t="str">
        <f>IF(B85="","",SUMIF(Data_Tax,B85,Data_Amount))</f>
        <v/>
      </c>
      <c r="F85" s="15" t="str">
        <f t="shared" si="1"/>
        <v/>
      </c>
      <c r="G85" s="13"/>
    </row>
    <row r="86" spans="1:7">
      <c r="A86" s="11"/>
      <c r="B86" s="7"/>
      <c r="C86" s="11"/>
      <c r="D86" s="15"/>
      <c r="E86" s="3" t="str">
        <f>IF(B86="","",SUMIF(Data_Tax,B86,Data_Amount))</f>
        <v/>
      </c>
      <c r="F86" s="15" t="str">
        <f t="shared" si="1"/>
        <v/>
      </c>
      <c r="G86" s="13"/>
    </row>
    <row r="87" spans="1:7">
      <c r="A87" s="11"/>
      <c r="B87" s="7"/>
      <c r="C87" s="11"/>
      <c r="D87" s="15"/>
      <c r="E87" s="3" t="str">
        <f>IF(B87="","",SUMIF(Data_Tax,B87,Data_Amount))</f>
        <v/>
      </c>
      <c r="F87" s="15" t="str">
        <f t="shared" si="1"/>
        <v/>
      </c>
      <c r="G87" s="13"/>
    </row>
    <row r="88" spans="1:7">
      <c r="A88" s="11"/>
      <c r="B88" s="7"/>
      <c r="C88" s="11"/>
      <c r="D88" s="15"/>
      <c r="E88" s="3" t="str">
        <f>IF(B88="","",SUMIF(Data_Tax,B88,Data_Amount))</f>
        <v/>
      </c>
      <c r="F88" s="15" t="str">
        <f t="shared" si="1"/>
        <v/>
      </c>
      <c r="G88" s="13"/>
    </row>
    <row r="89" spans="1:7">
      <c r="A89" s="11"/>
      <c r="B89" s="7"/>
      <c r="C89" s="11"/>
      <c r="D89" s="15"/>
      <c r="E89" s="3" t="str">
        <f>IF(B89="","",SUMIF(Data_Tax,B89,Data_Amount))</f>
        <v/>
      </c>
      <c r="F89" s="15" t="str">
        <f t="shared" si="1"/>
        <v/>
      </c>
      <c r="G89" s="13"/>
    </row>
    <row r="90" spans="1:7">
      <c r="A90" s="11"/>
      <c r="B90" s="7"/>
      <c r="C90" s="11"/>
      <c r="D90" s="15"/>
      <c r="E90" s="3" t="str">
        <f>IF(B90="","",SUMIF(Data_Tax,B90,Data_Amount))</f>
        <v/>
      </c>
      <c r="F90" s="15" t="str">
        <f t="shared" si="1"/>
        <v/>
      </c>
      <c r="G90" s="13"/>
    </row>
    <row r="91" spans="1:7">
      <c r="A91" s="11"/>
      <c r="B91" s="7"/>
      <c r="C91" s="11"/>
      <c r="D91" s="15"/>
      <c r="E91" s="3" t="str">
        <f>IF(B91="","",SUMIF(Data_Tax,B91,Data_Amount))</f>
        <v/>
      </c>
      <c r="F91" s="15" t="str">
        <f t="shared" si="1"/>
        <v/>
      </c>
      <c r="G91" s="13"/>
    </row>
    <row r="92" spans="1:7">
      <c r="A92" s="11"/>
      <c r="B92" s="7"/>
      <c r="C92" s="11"/>
      <c r="D92" s="15"/>
      <c r="E92" s="3" t="str">
        <f>IF(B92="","",SUMIF(Data_Tax,B92,Data_Amount))</f>
        <v/>
      </c>
      <c r="F92" s="15" t="str">
        <f t="shared" si="1"/>
        <v/>
      </c>
      <c r="G92" s="13"/>
    </row>
    <row r="93" spans="1:7">
      <c r="A93" s="11"/>
      <c r="B93" s="7"/>
      <c r="C93" s="11"/>
      <c r="D93" s="15"/>
      <c r="E93" s="3" t="str">
        <f>IF(B93="","",SUMIF(Data_Tax,B93,Data_Amount))</f>
        <v/>
      </c>
      <c r="F93" s="15" t="str">
        <f t="shared" si="1"/>
        <v/>
      </c>
      <c r="G93" s="13"/>
    </row>
    <row r="94" spans="1:7">
      <c r="A94" s="11"/>
      <c r="B94" s="7"/>
      <c r="C94" s="11"/>
      <c r="D94" s="15"/>
      <c r="E94" s="3" t="str">
        <f>IF(B94="","",SUMIF(Data_Tax,B94,Data_Amount))</f>
        <v/>
      </c>
      <c r="F94" s="15" t="str">
        <f t="shared" si="1"/>
        <v/>
      </c>
      <c r="G94" s="13"/>
    </row>
    <row r="95" spans="1:7">
      <c r="A95" s="11"/>
      <c r="B95" s="7"/>
      <c r="C95" s="11"/>
      <c r="D95" s="15"/>
      <c r="E95" s="3" t="str">
        <f>IF(B95="","",SUMIF(Data_Tax,B95,Data_Amount))</f>
        <v/>
      </c>
      <c r="F95" s="15" t="str">
        <f t="shared" si="1"/>
        <v/>
      </c>
      <c r="G95" s="13"/>
    </row>
    <row r="96" spans="1:7">
      <c r="A96" s="11"/>
      <c r="B96" s="7"/>
      <c r="C96" s="11"/>
      <c r="D96" s="15"/>
      <c r="E96" s="3" t="str">
        <f>IF(B96="","",SUMIF(Data_Tax,B96,Data_Amount))</f>
        <v/>
      </c>
      <c r="F96" s="15" t="str">
        <f t="shared" si="1"/>
        <v/>
      </c>
      <c r="G96" s="13"/>
    </row>
    <row r="97" spans="1:7">
      <c r="A97" s="11"/>
      <c r="B97" s="7"/>
      <c r="C97" s="11"/>
      <c r="D97" s="15"/>
      <c r="E97" s="3" t="str">
        <f>IF(B97="","",SUMIF(Data_Tax,B97,Data_Amount))</f>
        <v/>
      </c>
      <c r="F97" s="15" t="str">
        <f t="shared" si="1"/>
        <v/>
      </c>
      <c r="G97" s="13"/>
    </row>
    <row r="98" spans="1:7">
      <c r="A98" s="11"/>
      <c r="B98" s="7"/>
      <c r="C98" s="11"/>
      <c r="D98" s="15"/>
      <c r="E98" s="3" t="str">
        <f>IF(B98="","",SUMIF(Data_Tax,B98,Data_Amount))</f>
        <v/>
      </c>
      <c r="F98" s="15" t="str">
        <f t="shared" si="1"/>
        <v/>
      </c>
      <c r="G98" s="13"/>
    </row>
    <row r="99" spans="1:7">
      <c r="A99" s="11"/>
      <c r="B99" s="7"/>
      <c r="C99" s="11"/>
      <c r="D99" s="15"/>
      <c r="E99" s="3" t="str">
        <f>IF(B99="","",SUMIF(Data_Tax,B99,Data_Amount))</f>
        <v/>
      </c>
      <c r="F99" s="15" t="str">
        <f t="shared" si="1"/>
        <v/>
      </c>
      <c r="G99" s="13"/>
    </row>
    <row r="100" spans="1:7">
      <c r="A100" s="11"/>
      <c r="B100" s="7"/>
      <c r="C100" s="11"/>
      <c r="D100" s="15"/>
      <c r="E100" s="3" t="str">
        <f>IF(B100="","",SUMIF(Data_Tax,B100,Data_Amount))</f>
        <v/>
      </c>
      <c r="F100" s="15" t="str">
        <f t="shared" si="1"/>
        <v/>
      </c>
      <c r="G100" s="13"/>
    </row>
    <row r="101" spans="1:7">
      <c r="A101" s="11"/>
      <c r="B101" s="7"/>
      <c r="C101" s="11"/>
      <c r="D101" s="15"/>
      <c r="E101" s="3" t="str">
        <f>IF(B101="","",SUMIF(Data_Tax,B101,Data_Amount))</f>
        <v/>
      </c>
      <c r="F101" s="15" t="str">
        <f t="shared" si="1"/>
        <v/>
      </c>
      <c r="G101" s="13"/>
    </row>
    <row r="102" spans="1:7">
      <c r="A102" s="11"/>
      <c r="B102" s="7"/>
      <c r="C102" s="11"/>
      <c r="D102" s="15"/>
      <c r="E102" s="3" t="str">
        <f>IF(B102="","",SUMIF(Data_Tax,B102,Data_Amount))</f>
        <v/>
      </c>
      <c r="F102" s="15" t="str">
        <f t="shared" si="1"/>
        <v/>
      </c>
      <c r="G102" s="13"/>
    </row>
    <row r="103" spans="1:7">
      <c r="A103" s="11"/>
      <c r="B103" s="7"/>
      <c r="C103" s="11"/>
      <c r="D103" s="15"/>
      <c r="E103" s="3" t="str">
        <f>IF(B103="","",SUMIF(Data_Tax,B103,Data_Amount))</f>
        <v/>
      </c>
      <c r="F103" s="15" t="str">
        <f t="shared" si="1"/>
        <v/>
      </c>
      <c r="G103" s="13"/>
    </row>
    <row r="104" spans="1:7">
      <c r="A104" s="11"/>
      <c r="B104" s="7"/>
      <c r="C104" s="11"/>
      <c r="D104" s="15"/>
      <c r="E104" s="3" t="str">
        <f>IF(B104="","",SUMIF(Data_Tax,B104,Data_Amount))</f>
        <v/>
      </c>
      <c r="F104" s="15" t="str">
        <f t="shared" si="1"/>
        <v/>
      </c>
      <c r="G104" s="13"/>
    </row>
    <row r="105" spans="1:7">
      <c r="A105" s="11"/>
      <c r="B105" s="7"/>
      <c r="C105" s="11"/>
      <c r="D105" s="15"/>
      <c r="E105" s="3" t="str">
        <f>IF(B105="","",SUMIF(Data_Tax,B105,Data_Amount))</f>
        <v/>
      </c>
      <c r="F105" s="15" t="str">
        <f t="shared" si="1"/>
        <v/>
      </c>
      <c r="G105" s="13"/>
    </row>
    <row r="106" spans="1:7">
      <c r="A106" s="11"/>
      <c r="B106" s="7"/>
      <c r="C106" s="11"/>
      <c r="D106" s="15"/>
      <c r="E106" s="3" t="str">
        <f>IF(B106="","",SUMIF(Data_Tax,B106,Data_Amount))</f>
        <v/>
      </c>
      <c r="F106" s="15" t="str">
        <f t="shared" si="1"/>
        <v/>
      </c>
      <c r="G106" s="13"/>
    </row>
    <row r="107" spans="1:7">
      <c r="A107" s="11"/>
      <c r="B107" s="7"/>
      <c r="C107" s="11"/>
      <c r="D107" s="15"/>
      <c r="E107" s="3" t="str">
        <f>IF(B107="","",SUMIF(Data_Tax,B107,Data_Amount))</f>
        <v/>
      </c>
      <c r="F107" s="15" t="str">
        <f t="shared" si="1"/>
        <v/>
      </c>
      <c r="G107" s="13"/>
    </row>
    <row r="108" spans="1:7">
      <c r="A108" s="11"/>
      <c r="B108" s="7"/>
      <c r="C108" s="11"/>
      <c r="D108" s="15"/>
      <c r="E108" s="3" t="str">
        <f>IF(B108="","",SUMIF(Data_Tax,B108,Data_Amount))</f>
        <v/>
      </c>
      <c r="F108" s="15" t="str">
        <f t="shared" si="1"/>
        <v/>
      </c>
      <c r="G108" s="13"/>
    </row>
    <row r="109" spans="1:7">
      <c r="A109" s="11"/>
      <c r="B109" s="7"/>
      <c r="C109" s="11"/>
      <c r="D109" s="15"/>
      <c r="E109" s="3" t="str">
        <f>IF(B109="","",SUMIF(Data_Tax,B109,Data_Amount))</f>
        <v/>
      </c>
      <c r="F109" s="15" t="str">
        <f t="shared" si="1"/>
        <v/>
      </c>
      <c r="G109" s="13"/>
    </row>
    <row r="110" spans="1:7">
      <c r="A110" s="11"/>
      <c r="B110" s="7"/>
      <c r="C110" s="11"/>
      <c r="D110" s="15"/>
      <c r="E110" s="3" t="str">
        <f>IF(B110="","",SUMIF(Data_Tax,B110,Data_Amount))</f>
        <v/>
      </c>
      <c r="F110" s="15" t="str">
        <f t="shared" si="1"/>
        <v/>
      </c>
      <c r="G110" s="13"/>
    </row>
    <row r="111" spans="1:7">
      <c r="A111" s="11"/>
      <c r="B111" s="7"/>
      <c r="C111" s="11"/>
      <c r="D111" s="15"/>
      <c r="E111" s="3" t="str">
        <f>IF(B111="","",SUMIF(Data_Tax,B111,Data_Amount))</f>
        <v/>
      </c>
      <c r="F111" s="15" t="str">
        <f t="shared" si="1"/>
        <v/>
      </c>
      <c r="G111" s="13"/>
    </row>
    <row r="112" spans="1:7">
      <c r="A112" s="11"/>
      <c r="B112" s="7"/>
      <c r="C112" s="11"/>
      <c r="D112" s="15"/>
      <c r="E112" s="3" t="str">
        <f>IF(B112="","",SUMIF(Data_Tax,B112,Data_Amount))</f>
        <v/>
      </c>
      <c r="F112" s="15" t="str">
        <f t="shared" si="1"/>
        <v/>
      </c>
      <c r="G112" s="13"/>
    </row>
    <row r="113" spans="1:7">
      <c r="A113" s="11"/>
      <c r="B113" s="7"/>
      <c r="C113" s="11"/>
      <c r="D113" s="15"/>
      <c r="E113" s="3" t="str">
        <f>IF(B113="","",SUMIF(Data_Tax,B113,Data_Amount))</f>
        <v/>
      </c>
      <c r="F113" s="15" t="str">
        <f t="shared" si="1"/>
        <v/>
      </c>
      <c r="G113" s="13"/>
    </row>
    <row r="114" spans="1:7">
      <c r="A114" s="11"/>
      <c r="B114" s="7"/>
      <c r="C114" s="11"/>
      <c r="D114" s="15"/>
      <c r="E114" s="3" t="str">
        <f>IF(B114="","",SUMIF(Data_Tax,B114,Data_Amount))</f>
        <v/>
      </c>
      <c r="F114" s="15" t="str">
        <f t="shared" si="1"/>
        <v/>
      </c>
      <c r="G114" s="13"/>
    </row>
    <row r="115" spans="1:7">
      <c r="A115" s="11"/>
      <c r="B115" s="7"/>
      <c r="C115" s="11"/>
      <c r="D115" s="15"/>
      <c r="E115" s="3" t="str">
        <f>IF(B115="","",SUMIF(Data_Tax,B115,Data_Amount))</f>
        <v/>
      </c>
      <c r="F115" s="15" t="str">
        <f t="shared" si="1"/>
        <v/>
      </c>
      <c r="G115" s="13"/>
    </row>
    <row r="116" spans="1:7">
      <c r="A116" s="11"/>
      <c r="B116" s="7"/>
      <c r="C116" s="11"/>
      <c r="D116" s="15"/>
      <c r="E116" s="3" t="str">
        <f>IF(B116="","",SUMIF(Data_Tax,B116,Data_Amount))</f>
        <v/>
      </c>
      <c r="F116" s="15" t="str">
        <f t="shared" si="1"/>
        <v/>
      </c>
      <c r="G116" s="13"/>
    </row>
    <row r="117" spans="1:7">
      <c r="A117" s="11"/>
      <c r="B117" s="7"/>
      <c r="C117" s="11"/>
      <c r="D117" s="15"/>
      <c r="E117" s="3" t="str">
        <f>IF(B117="","",SUMIF(Data_Tax,B117,Data_Amount))</f>
        <v/>
      </c>
      <c r="F117" s="15" t="str">
        <f t="shared" si="1"/>
        <v/>
      </c>
      <c r="G117" s="13"/>
    </row>
    <row r="118" spans="1:7">
      <c r="A118" s="11"/>
      <c r="B118" s="7"/>
      <c r="C118" s="11"/>
      <c r="D118" s="15"/>
      <c r="E118" s="3" t="str">
        <f>IF(B118="","",SUMIF(Data_Tax,B118,Data_Amount))</f>
        <v/>
      </c>
      <c r="F118" s="15" t="str">
        <f t="shared" si="1"/>
        <v/>
      </c>
      <c r="G118" s="13"/>
    </row>
    <row r="119" spans="1:7">
      <c r="A119" s="11"/>
      <c r="B119" s="7"/>
      <c r="C119" s="11"/>
      <c r="D119" s="15"/>
      <c r="E119" s="3" t="str">
        <f>IF(B119="","",SUMIF(Data_Tax,B119,Data_Amount))</f>
        <v/>
      </c>
      <c r="F119" s="15" t="str">
        <f t="shared" si="1"/>
        <v/>
      </c>
      <c r="G119" s="13"/>
    </row>
    <row r="120" spans="1:7">
      <c r="A120" s="11"/>
      <c r="B120" s="7"/>
      <c r="C120" s="11"/>
      <c r="D120" s="15"/>
      <c r="E120" s="3" t="str">
        <f>IF(B120="","",SUMIF(Data_Tax,B120,Data_Amount))</f>
        <v/>
      </c>
      <c r="F120" s="15" t="str">
        <f t="shared" si="1"/>
        <v/>
      </c>
      <c r="G120" s="13"/>
    </row>
    <row r="121" spans="1:7">
      <c r="A121" s="11"/>
      <c r="B121" s="7"/>
      <c r="C121" s="11"/>
      <c r="D121" s="15"/>
      <c r="E121" s="3" t="str">
        <f>IF(B121="","",SUMIF(Data_Tax,B121,Data_Amount))</f>
        <v/>
      </c>
      <c r="F121" s="15" t="str">
        <f t="shared" si="1"/>
        <v/>
      </c>
      <c r="G121" s="13"/>
    </row>
    <row r="122" spans="1:7">
      <c r="A122" s="11"/>
      <c r="B122" s="7"/>
      <c r="C122" s="11"/>
      <c r="D122" s="15"/>
      <c r="E122" s="3" t="str">
        <f>IF(B122="","",SUMIF(Data_Tax,B122,Data_Amount))</f>
        <v/>
      </c>
      <c r="F122" s="15" t="str">
        <f t="shared" si="1"/>
        <v/>
      </c>
      <c r="G122" s="13"/>
    </row>
    <row r="123" spans="1:7">
      <c r="A123" s="11"/>
      <c r="B123" s="7"/>
      <c r="C123" s="11"/>
      <c r="D123" s="15"/>
      <c r="E123" s="3" t="str">
        <f>IF(B123="","",SUMIF(Data_Tax,B123,Data_Amount))</f>
        <v/>
      </c>
      <c r="F123" s="15" t="str">
        <f t="shared" si="1"/>
        <v/>
      </c>
      <c r="G123" s="13"/>
    </row>
    <row r="124" spans="1:7">
      <c r="A124" s="11"/>
      <c r="B124" s="7"/>
      <c r="C124" s="11"/>
      <c r="D124" s="15"/>
      <c r="E124" s="3" t="str">
        <f>IF(B124="","",SUMIF(Data_Tax,B124,Data_Amount))</f>
        <v/>
      </c>
      <c r="F124" s="15" t="str">
        <f t="shared" si="1"/>
        <v/>
      </c>
      <c r="G124" s="13"/>
    </row>
    <row r="125" spans="1:7">
      <c r="A125" s="11"/>
      <c r="B125" s="7"/>
      <c r="C125" s="11"/>
      <c r="D125" s="15"/>
      <c r="E125" s="3" t="str">
        <f>IF(B125="","",SUMIF(Data_Tax,B125,Data_Amount))</f>
        <v/>
      </c>
      <c r="F125" s="15" t="str">
        <f t="shared" si="1"/>
        <v/>
      </c>
      <c r="G125" s="13"/>
    </row>
    <row r="126" spans="1:7">
      <c r="A126" s="11"/>
      <c r="B126" s="7"/>
      <c r="C126" s="11"/>
      <c r="D126" s="15"/>
      <c r="E126" s="3" t="str">
        <f>IF(B126="","",SUMIF(Data_Tax,B126,Data_Amount))</f>
        <v/>
      </c>
      <c r="F126" s="15" t="str">
        <f t="shared" si="1"/>
        <v/>
      </c>
      <c r="G126" s="13"/>
    </row>
    <row r="127" spans="1:7">
      <c r="A127" s="11"/>
      <c r="B127" s="7"/>
      <c r="C127" s="11"/>
      <c r="D127" s="15"/>
      <c r="E127" s="3" t="str">
        <f>IF(B127="","",SUMIF(Data_Tax,B127,Data_Amount))</f>
        <v/>
      </c>
      <c r="F127" s="15" t="str">
        <f t="shared" si="1"/>
        <v/>
      </c>
      <c r="G127" s="13"/>
    </row>
    <row r="128" spans="1:7">
      <c r="A128" s="11"/>
      <c r="B128" s="7"/>
      <c r="C128" s="11"/>
      <c r="D128" s="15"/>
      <c r="E128" s="3"/>
      <c r="F128" s="15" t="str">
        <f t="shared" si="1"/>
        <v/>
      </c>
      <c r="G128" s="13"/>
    </row>
    <row r="129" spans="1:7">
      <c r="A129" s="11"/>
      <c r="B129" s="7"/>
      <c r="C129" s="11"/>
      <c r="D129" s="15"/>
      <c r="E129" s="3"/>
      <c r="F129" s="15" t="str">
        <f t="shared" si="1"/>
        <v/>
      </c>
      <c r="G129" s="13"/>
    </row>
    <row r="130" spans="1:7">
      <c r="A130" s="11"/>
      <c r="B130" s="7"/>
      <c r="C130" s="11"/>
      <c r="D130" s="15"/>
      <c r="E130" s="3"/>
      <c r="F130" s="15" t="str">
        <f t="shared" si="1"/>
        <v/>
      </c>
      <c r="G130" s="13"/>
    </row>
    <row r="131" spans="1:7">
      <c r="A131" s="11"/>
      <c r="B131" s="7"/>
      <c r="C131" s="11"/>
      <c r="D131" s="15"/>
      <c r="E131" s="3"/>
      <c r="F131" s="15" t="str">
        <f t="shared" si="1"/>
        <v/>
      </c>
      <c r="G131" s="13"/>
    </row>
    <row r="132" spans="1:7">
      <c r="A132" s="11"/>
      <c r="B132" s="7"/>
      <c r="C132" s="11"/>
      <c r="D132" s="15"/>
      <c r="E132" s="3"/>
      <c r="F132" s="15" t="str">
        <f t="shared" si="1"/>
        <v/>
      </c>
      <c r="G132" s="13"/>
    </row>
    <row r="133" spans="1:7">
      <c r="A133" s="11"/>
      <c r="B133" s="7"/>
      <c r="C133" s="11"/>
      <c r="D133" s="15"/>
      <c r="E133" s="3"/>
      <c r="F133" s="15" t="str">
        <f t="shared" si="1"/>
        <v/>
      </c>
      <c r="G133" s="13"/>
    </row>
    <row r="134" spans="1:7">
      <c r="A134" s="11"/>
      <c r="B134" s="7"/>
      <c r="C134" s="11"/>
      <c r="D134" s="15"/>
      <c r="E134" s="3"/>
      <c r="F134" s="15" t="str">
        <f t="shared" si="1"/>
        <v/>
      </c>
      <c r="G134" s="13"/>
    </row>
    <row r="135" spans="1:7">
      <c r="A135" s="11"/>
      <c r="B135" s="7"/>
      <c r="C135" s="11"/>
      <c r="D135" s="15"/>
      <c r="E135" s="3"/>
      <c r="F135" s="15" t="str">
        <f t="shared" si="1"/>
        <v/>
      </c>
      <c r="G135" s="13"/>
    </row>
    <row r="136" spans="1:7">
      <c r="A136" s="11"/>
      <c r="B136" s="7"/>
      <c r="C136" s="11"/>
      <c r="D136" s="15"/>
      <c r="E136" s="3"/>
      <c r="F136" s="15" t="str">
        <f t="shared" si="1"/>
        <v/>
      </c>
      <c r="G136" s="13"/>
    </row>
    <row r="137" spans="1:7">
      <c r="A137" s="11"/>
      <c r="B137" s="7"/>
      <c r="C137" s="11"/>
      <c r="D137" s="15"/>
      <c r="E137" s="3"/>
      <c r="F137" s="15" t="str">
        <f t="shared" si="1"/>
        <v/>
      </c>
      <c r="G137" s="13"/>
    </row>
    <row r="138" spans="1:7">
      <c r="A138" s="11"/>
      <c r="B138" s="7"/>
      <c r="C138" s="11"/>
      <c r="D138" s="15"/>
      <c r="E138" s="3"/>
      <c r="F138" s="15" t="str">
        <f t="shared" si="1"/>
        <v/>
      </c>
      <c r="G138" s="13"/>
    </row>
    <row r="139" spans="1:7">
      <c r="A139" s="11"/>
      <c r="B139" s="7"/>
      <c r="C139" s="11"/>
      <c r="D139" s="15"/>
      <c r="E139" s="3"/>
      <c r="F139" s="15" t="str">
        <f t="shared" ref="F139:F202" si="2">IF(D139="","",SUM(F138,D139))</f>
        <v/>
      </c>
      <c r="G139" s="13"/>
    </row>
    <row r="140" spans="1:7">
      <c r="A140" s="11"/>
      <c r="B140" s="7"/>
      <c r="C140" s="11"/>
      <c r="D140" s="15"/>
      <c r="E140" s="3"/>
      <c r="F140" s="15" t="str">
        <f t="shared" si="2"/>
        <v/>
      </c>
      <c r="G140" s="13"/>
    </row>
    <row r="141" spans="1:7">
      <c r="A141" s="11"/>
      <c r="B141" s="7"/>
      <c r="C141" s="11"/>
      <c r="D141" s="15"/>
      <c r="E141" s="3"/>
      <c r="F141" s="15" t="str">
        <f t="shared" si="2"/>
        <v/>
      </c>
      <c r="G141" s="13"/>
    </row>
    <row r="142" spans="1:7">
      <c r="A142" s="11"/>
      <c r="B142" s="7"/>
      <c r="C142" s="11"/>
      <c r="D142" s="15"/>
      <c r="E142" s="3"/>
      <c r="F142" s="15" t="str">
        <f t="shared" si="2"/>
        <v/>
      </c>
      <c r="G142" s="13"/>
    </row>
    <row r="143" spans="1:7">
      <c r="A143" s="11"/>
      <c r="B143" s="7"/>
      <c r="C143" s="11"/>
      <c r="D143" s="15"/>
      <c r="E143" s="3"/>
      <c r="F143" s="15" t="str">
        <f t="shared" si="2"/>
        <v/>
      </c>
      <c r="G143" s="13"/>
    </row>
    <row r="144" spans="1:7">
      <c r="A144" s="11"/>
      <c r="B144" s="7"/>
      <c r="C144" s="11"/>
      <c r="D144" s="15"/>
      <c r="E144" s="3"/>
      <c r="F144" s="15" t="str">
        <f t="shared" si="2"/>
        <v/>
      </c>
      <c r="G144" s="13"/>
    </row>
    <row r="145" spans="1:7">
      <c r="A145" s="11"/>
      <c r="B145" s="7"/>
      <c r="C145" s="11"/>
      <c r="D145" s="15"/>
      <c r="E145" s="3"/>
      <c r="F145" s="15" t="str">
        <f t="shared" si="2"/>
        <v/>
      </c>
      <c r="G145" s="13"/>
    </row>
    <row r="146" spans="1:7">
      <c r="A146" s="11"/>
      <c r="B146" s="7"/>
      <c r="C146" s="11"/>
      <c r="D146" s="15"/>
      <c r="E146" s="3"/>
      <c r="F146" s="15" t="str">
        <f t="shared" si="2"/>
        <v/>
      </c>
      <c r="G146" s="13"/>
    </row>
    <row r="147" spans="1:7">
      <c r="A147" s="11"/>
      <c r="B147" s="7"/>
      <c r="C147" s="11"/>
      <c r="D147" s="15"/>
      <c r="E147" s="3"/>
      <c r="F147" s="15" t="str">
        <f t="shared" si="2"/>
        <v/>
      </c>
      <c r="G147" s="13"/>
    </row>
    <row r="148" spans="1:7">
      <c r="A148" s="11"/>
      <c r="B148" s="7"/>
      <c r="C148" s="11"/>
      <c r="D148" s="15"/>
      <c r="E148" s="3"/>
      <c r="F148" s="15" t="str">
        <f t="shared" si="2"/>
        <v/>
      </c>
      <c r="G148" s="13"/>
    </row>
    <row r="149" spans="1:7">
      <c r="A149" s="11"/>
      <c r="B149" s="7"/>
      <c r="C149" s="11"/>
      <c r="D149" s="15"/>
      <c r="E149" s="3"/>
      <c r="F149" s="15" t="str">
        <f t="shared" si="2"/>
        <v/>
      </c>
      <c r="G149" s="13"/>
    </row>
    <row r="150" spans="1:7">
      <c r="A150" s="11"/>
      <c r="B150" s="7"/>
      <c r="C150" s="11"/>
      <c r="D150" s="15"/>
      <c r="E150" s="3"/>
      <c r="F150" s="15" t="str">
        <f t="shared" si="2"/>
        <v/>
      </c>
      <c r="G150" s="13"/>
    </row>
    <row r="151" spans="1:7">
      <c r="A151" s="11"/>
      <c r="B151" s="7"/>
      <c r="C151" s="11"/>
      <c r="D151" s="15"/>
      <c r="E151" s="3"/>
      <c r="F151" s="15" t="str">
        <f t="shared" si="2"/>
        <v/>
      </c>
      <c r="G151" s="13"/>
    </row>
    <row r="152" spans="1:7">
      <c r="A152" s="11"/>
      <c r="B152" s="7"/>
      <c r="C152" s="11"/>
      <c r="D152" s="15"/>
      <c r="E152" s="3"/>
      <c r="F152" s="15" t="str">
        <f t="shared" si="2"/>
        <v/>
      </c>
      <c r="G152" s="13"/>
    </row>
    <row r="153" spans="1:7">
      <c r="A153" s="11"/>
      <c r="B153" s="7"/>
      <c r="C153" s="11"/>
      <c r="D153" s="15"/>
      <c r="E153" s="3"/>
      <c r="F153" s="15" t="str">
        <f t="shared" si="2"/>
        <v/>
      </c>
      <c r="G153" s="13"/>
    </row>
    <row r="154" spans="1:7">
      <c r="A154" s="11"/>
      <c r="B154" s="7"/>
      <c r="C154" s="11"/>
      <c r="D154" s="15"/>
      <c r="E154" s="3"/>
      <c r="F154" s="15" t="str">
        <f t="shared" si="2"/>
        <v/>
      </c>
      <c r="G154" s="13"/>
    </row>
    <row r="155" spans="1:7">
      <c r="A155" s="11"/>
      <c r="B155" s="7"/>
      <c r="C155" s="11"/>
      <c r="D155" s="15"/>
      <c r="E155" s="3"/>
      <c r="F155" s="15" t="str">
        <f t="shared" si="2"/>
        <v/>
      </c>
      <c r="G155" s="13"/>
    </row>
    <row r="156" spans="1:7">
      <c r="A156" s="11"/>
      <c r="B156" s="7"/>
      <c r="C156" s="11"/>
      <c r="D156" s="15"/>
      <c r="E156" s="3"/>
      <c r="F156" s="15" t="str">
        <f t="shared" si="2"/>
        <v/>
      </c>
      <c r="G156" s="13"/>
    </row>
    <row r="157" spans="1:7">
      <c r="A157" s="11"/>
      <c r="B157" s="7"/>
      <c r="C157" s="11"/>
      <c r="D157" s="15"/>
      <c r="E157" s="3"/>
      <c r="F157" s="15" t="str">
        <f t="shared" si="2"/>
        <v/>
      </c>
      <c r="G157" s="13"/>
    </row>
    <row r="158" spans="1:7">
      <c r="A158" s="11"/>
      <c r="B158" s="7"/>
      <c r="C158" s="11"/>
      <c r="D158" s="15"/>
      <c r="E158" s="3"/>
      <c r="F158" s="15" t="str">
        <f t="shared" si="2"/>
        <v/>
      </c>
      <c r="G158" s="13"/>
    </row>
    <row r="159" spans="1:7">
      <c r="A159" s="11"/>
      <c r="B159" s="7"/>
      <c r="C159" s="11"/>
      <c r="D159" s="15"/>
      <c r="E159" s="3"/>
      <c r="F159" s="15" t="str">
        <f t="shared" si="2"/>
        <v/>
      </c>
      <c r="G159" s="13"/>
    </row>
    <row r="160" spans="1:7">
      <c r="A160" s="11"/>
      <c r="B160" s="7"/>
      <c r="C160" s="11"/>
      <c r="D160" s="15"/>
      <c r="E160" s="3"/>
      <c r="F160" s="15" t="str">
        <f t="shared" si="2"/>
        <v/>
      </c>
      <c r="G160" s="13"/>
    </row>
    <row r="161" spans="1:7">
      <c r="A161" s="11"/>
      <c r="B161" s="7"/>
      <c r="C161" s="11"/>
      <c r="D161" s="15"/>
      <c r="E161" s="3"/>
      <c r="F161" s="15" t="str">
        <f t="shared" si="2"/>
        <v/>
      </c>
      <c r="G161" s="13"/>
    </row>
    <row r="162" spans="1:7">
      <c r="A162" s="11"/>
      <c r="B162" s="7"/>
      <c r="C162" s="11"/>
      <c r="D162" s="15"/>
      <c r="E162" s="3"/>
      <c r="F162" s="15" t="str">
        <f t="shared" si="2"/>
        <v/>
      </c>
      <c r="G162" s="13"/>
    </row>
    <row r="163" spans="1:7">
      <c r="A163" s="11"/>
      <c r="B163" s="7"/>
      <c r="C163" s="11"/>
      <c r="D163" s="15"/>
      <c r="E163" s="3"/>
      <c r="F163" s="15" t="str">
        <f t="shared" si="2"/>
        <v/>
      </c>
      <c r="G163" s="13"/>
    </row>
    <row r="164" spans="1:7">
      <c r="A164" s="11"/>
      <c r="B164" s="7"/>
      <c r="C164" s="11"/>
      <c r="D164" s="15"/>
      <c r="E164" s="3"/>
      <c r="F164" s="15" t="str">
        <f t="shared" si="2"/>
        <v/>
      </c>
      <c r="G164" s="13"/>
    </row>
    <row r="165" spans="1:7">
      <c r="A165" s="11"/>
      <c r="B165" s="7"/>
      <c r="C165" s="11"/>
      <c r="D165" s="15"/>
      <c r="E165" s="3"/>
      <c r="F165" s="15" t="str">
        <f t="shared" si="2"/>
        <v/>
      </c>
      <c r="G165" s="13"/>
    </row>
    <row r="166" spans="1:7">
      <c r="A166" s="11"/>
      <c r="B166" s="7"/>
      <c r="C166" s="11"/>
      <c r="D166" s="15"/>
      <c r="E166" s="3"/>
      <c r="F166" s="15" t="str">
        <f>IF(D166="","",SUM(F165,D166))</f>
        <v/>
      </c>
      <c r="G166" s="13"/>
    </row>
    <row r="167" spans="1:7">
      <c r="A167" s="11"/>
      <c r="B167" s="7"/>
      <c r="C167" s="11"/>
      <c r="D167" s="15"/>
      <c r="E167" s="3"/>
      <c r="F167" s="15" t="str">
        <f t="shared" si="2"/>
        <v/>
      </c>
      <c r="G167" s="13"/>
    </row>
    <row r="168" spans="1:7">
      <c r="A168" s="11"/>
      <c r="B168" s="7"/>
      <c r="C168" s="11"/>
      <c r="D168" s="15"/>
      <c r="E168" s="3"/>
      <c r="F168" s="15" t="str">
        <f t="shared" si="2"/>
        <v/>
      </c>
      <c r="G168" s="13"/>
    </row>
    <row r="169" spans="1:7">
      <c r="A169" s="11"/>
      <c r="B169" s="7"/>
      <c r="C169" s="11"/>
      <c r="D169" s="15"/>
      <c r="E169" s="3"/>
      <c r="F169" s="15" t="str">
        <f t="shared" si="2"/>
        <v/>
      </c>
      <c r="G169" s="13"/>
    </row>
    <row r="170" spans="1:7">
      <c r="A170" s="11"/>
      <c r="B170" s="7"/>
      <c r="C170" s="11"/>
      <c r="D170" s="15"/>
      <c r="E170" s="3"/>
      <c r="F170" s="15" t="str">
        <f t="shared" si="2"/>
        <v/>
      </c>
      <c r="G170" s="13"/>
    </row>
    <row r="171" spans="1:7">
      <c r="A171" s="11"/>
      <c r="B171" s="7"/>
      <c r="C171" s="11"/>
      <c r="D171" s="15"/>
      <c r="E171" s="3"/>
      <c r="F171" s="15" t="str">
        <f t="shared" si="2"/>
        <v/>
      </c>
      <c r="G171" s="13"/>
    </row>
    <row r="172" spans="1:7">
      <c r="A172" s="11"/>
      <c r="B172" s="7"/>
      <c r="C172" s="11"/>
      <c r="D172" s="15"/>
      <c r="E172" s="3"/>
      <c r="F172" s="15" t="str">
        <f t="shared" si="2"/>
        <v/>
      </c>
      <c r="G172" s="13"/>
    </row>
    <row r="173" spans="1:7">
      <c r="A173" s="11"/>
      <c r="B173" s="7"/>
      <c r="C173" s="11"/>
      <c r="D173" s="15"/>
      <c r="E173" s="3"/>
      <c r="F173" s="15" t="str">
        <f t="shared" si="2"/>
        <v/>
      </c>
      <c r="G173" s="13"/>
    </row>
    <row r="174" spans="1:7">
      <c r="A174" s="11"/>
      <c r="B174" s="7"/>
      <c r="C174" s="11"/>
      <c r="D174" s="15"/>
      <c r="E174" s="3"/>
      <c r="F174" s="15" t="str">
        <f t="shared" si="2"/>
        <v/>
      </c>
      <c r="G174" s="13"/>
    </row>
    <row r="175" spans="1:7">
      <c r="A175" s="11"/>
      <c r="B175" s="7"/>
      <c r="C175" s="11"/>
      <c r="D175" s="15"/>
      <c r="E175" s="3"/>
      <c r="F175" s="15" t="str">
        <f t="shared" si="2"/>
        <v/>
      </c>
      <c r="G175" s="13"/>
    </row>
    <row r="176" spans="1:7">
      <c r="A176" s="11"/>
      <c r="B176" s="7"/>
      <c r="C176" s="11"/>
      <c r="D176" s="15"/>
      <c r="E176" s="3"/>
      <c r="F176" s="15" t="str">
        <f t="shared" si="2"/>
        <v/>
      </c>
      <c r="G176" s="13"/>
    </row>
    <row r="177" spans="1:7">
      <c r="A177" s="11"/>
      <c r="B177" s="7"/>
      <c r="C177" s="11"/>
      <c r="D177" s="15"/>
      <c r="E177" s="3"/>
      <c r="F177" s="15" t="str">
        <f t="shared" si="2"/>
        <v/>
      </c>
      <c r="G177" s="13"/>
    </row>
    <row r="178" spans="1:7">
      <c r="A178" s="11"/>
      <c r="B178" s="7"/>
      <c r="C178" s="11"/>
      <c r="D178" s="15"/>
      <c r="E178" s="3"/>
      <c r="F178" s="15" t="str">
        <f t="shared" si="2"/>
        <v/>
      </c>
      <c r="G178" s="13"/>
    </row>
    <row r="179" spans="1:7">
      <c r="A179" s="11"/>
      <c r="B179" s="7"/>
      <c r="C179" s="11"/>
      <c r="D179" s="15"/>
      <c r="E179" s="3"/>
      <c r="F179" s="15" t="str">
        <f t="shared" si="2"/>
        <v/>
      </c>
      <c r="G179" s="13"/>
    </row>
    <row r="180" spans="1:7">
      <c r="A180" s="11"/>
      <c r="B180" s="7"/>
      <c r="C180" s="11"/>
      <c r="D180" s="15"/>
      <c r="E180" s="3"/>
      <c r="F180" s="15" t="str">
        <f t="shared" si="2"/>
        <v/>
      </c>
      <c r="G180" s="13"/>
    </row>
    <row r="181" spans="1:7">
      <c r="A181" s="11"/>
      <c r="B181" s="7"/>
      <c r="C181" s="11"/>
      <c r="D181" s="15"/>
      <c r="E181" s="3"/>
      <c r="F181" s="15" t="str">
        <f t="shared" si="2"/>
        <v/>
      </c>
      <c r="G181" s="13"/>
    </row>
    <row r="182" spans="1:7">
      <c r="A182" s="11"/>
      <c r="B182" s="7"/>
      <c r="C182" s="11"/>
      <c r="D182" s="15"/>
      <c r="E182" s="3"/>
      <c r="F182" s="15" t="str">
        <f t="shared" si="2"/>
        <v/>
      </c>
      <c r="G182" s="13"/>
    </row>
    <row r="183" spans="1:7">
      <c r="A183" s="11"/>
      <c r="B183" s="7"/>
      <c r="C183" s="11"/>
      <c r="D183" s="15"/>
      <c r="E183" s="3"/>
      <c r="F183" s="15" t="str">
        <f t="shared" si="2"/>
        <v/>
      </c>
      <c r="G183" s="13"/>
    </row>
    <row r="184" spans="1:7">
      <c r="A184" s="11"/>
      <c r="B184" s="7"/>
      <c r="C184" s="11"/>
      <c r="D184" s="15"/>
      <c r="E184" s="3"/>
      <c r="F184" s="15" t="str">
        <f t="shared" si="2"/>
        <v/>
      </c>
      <c r="G184" s="13"/>
    </row>
    <row r="185" spans="1:7">
      <c r="A185" s="11"/>
      <c r="B185" s="7"/>
      <c r="C185" s="11"/>
      <c r="D185" s="15"/>
      <c r="E185" s="3"/>
      <c r="F185" s="15" t="str">
        <f t="shared" si="2"/>
        <v/>
      </c>
      <c r="G185" s="13"/>
    </row>
    <row r="186" spans="1:7">
      <c r="A186" s="11"/>
      <c r="B186" s="7"/>
      <c r="C186" s="11"/>
      <c r="D186" s="15"/>
      <c r="E186" s="3"/>
      <c r="F186" s="15" t="str">
        <f t="shared" si="2"/>
        <v/>
      </c>
      <c r="G186" s="13"/>
    </row>
    <row r="187" spans="1:7">
      <c r="A187" s="11"/>
      <c r="B187" s="7"/>
      <c r="C187" s="11"/>
      <c r="D187" s="15"/>
      <c r="E187" s="3"/>
      <c r="F187" s="15" t="str">
        <f t="shared" si="2"/>
        <v/>
      </c>
      <c r="G187" s="13"/>
    </row>
    <row r="188" spans="1:7">
      <c r="A188" s="11"/>
      <c r="B188" s="7"/>
      <c r="C188" s="11"/>
      <c r="D188" s="15"/>
      <c r="E188" s="3"/>
      <c r="F188" s="15" t="str">
        <f t="shared" si="2"/>
        <v/>
      </c>
      <c r="G188" s="13"/>
    </row>
    <row r="189" spans="1:7">
      <c r="A189" s="11"/>
      <c r="B189" s="7"/>
      <c r="C189" s="11"/>
      <c r="D189" s="15"/>
      <c r="E189" s="3"/>
      <c r="F189" s="15" t="str">
        <f t="shared" si="2"/>
        <v/>
      </c>
      <c r="G189" s="13"/>
    </row>
    <row r="190" spans="1:7">
      <c r="A190" s="11"/>
      <c r="B190" s="7"/>
      <c r="C190" s="11"/>
      <c r="D190" s="15"/>
      <c r="E190" s="3"/>
      <c r="F190" s="15" t="str">
        <f t="shared" si="2"/>
        <v/>
      </c>
      <c r="G190" s="13"/>
    </row>
    <row r="191" spans="1:7">
      <c r="A191" s="11"/>
      <c r="B191" s="7"/>
      <c r="C191" s="11"/>
      <c r="D191" s="15"/>
      <c r="E191" s="3"/>
      <c r="F191" s="15" t="str">
        <f t="shared" si="2"/>
        <v/>
      </c>
      <c r="G191" s="13"/>
    </row>
    <row r="192" spans="1:7">
      <c r="A192" s="11"/>
      <c r="B192" s="7"/>
      <c r="C192" s="11"/>
      <c r="D192" s="15"/>
      <c r="E192" s="3"/>
      <c r="F192" s="15" t="str">
        <f t="shared" si="2"/>
        <v/>
      </c>
      <c r="G192" s="13"/>
    </row>
    <row r="193" spans="1:7">
      <c r="A193" s="11"/>
      <c r="B193" s="7"/>
      <c r="C193" s="11"/>
      <c r="D193" s="15"/>
      <c r="E193" s="3"/>
      <c r="F193" s="15" t="str">
        <f t="shared" si="2"/>
        <v/>
      </c>
      <c r="G193" s="13"/>
    </row>
    <row r="194" spans="1:7">
      <c r="A194" s="11"/>
      <c r="B194" s="7"/>
      <c r="C194" s="11"/>
      <c r="D194" s="15"/>
      <c r="E194" s="3"/>
      <c r="F194" s="15" t="str">
        <f t="shared" si="2"/>
        <v/>
      </c>
      <c r="G194" s="13"/>
    </row>
    <row r="195" spans="1:7">
      <c r="A195" s="11"/>
      <c r="B195" s="7"/>
      <c r="C195" s="11"/>
      <c r="D195" s="15"/>
      <c r="E195" s="3"/>
      <c r="F195" s="15" t="str">
        <f t="shared" si="2"/>
        <v/>
      </c>
      <c r="G195" s="13"/>
    </row>
    <row r="196" spans="1:7">
      <c r="A196" s="11"/>
      <c r="B196" s="7"/>
      <c r="C196" s="11"/>
      <c r="D196" s="15"/>
      <c r="E196" s="3"/>
      <c r="F196" s="15" t="str">
        <f t="shared" si="2"/>
        <v/>
      </c>
      <c r="G196" s="13"/>
    </row>
    <row r="197" spans="1:7">
      <c r="A197" s="11"/>
      <c r="B197" s="7"/>
      <c r="C197" s="11"/>
      <c r="D197" s="15"/>
      <c r="E197" s="3"/>
      <c r="F197" s="15" t="str">
        <f t="shared" si="2"/>
        <v/>
      </c>
      <c r="G197" s="13"/>
    </row>
    <row r="198" spans="1:7">
      <c r="A198" s="11"/>
      <c r="B198" s="7"/>
      <c r="C198" s="11"/>
      <c r="D198" s="15"/>
      <c r="E198" s="3"/>
      <c r="F198" s="15" t="str">
        <f t="shared" si="2"/>
        <v/>
      </c>
      <c r="G198" s="13"/>
    </row>
    <row r="199" spans="1:7">
      <c r="A199" s="11"/>
      <c r="B199" s="7"/>
      <c r="C199" s="11"/>
      <c r="D199" s="15"/>
      <c r="E199" s="3"/>
      <c r="F199" s="15" t="str">
        <f t="shared" si="2"/>
        <v/>
      </c>
      <c r="G199" s="13"/>
    </row>
    <row r="200" spans="1:7">
      <c r="A200" s="11"/>
      <c r="B200" s="7"/>
      <c r="C200" s="11"/>
      <c r="D200" s="15"/>
      <c r="E200" s="3"/>
      <c r="F200" s="15" t="str">
        <f t="shared" si="2"/>
        <v/>
      </c>
      <c r="G200" s="13"/>
    </row>
    <row r="201" spans="1:7">
      <c r="A201" s="11"/>
      <c r="B201" s="7"/>
      <c r="C201" s="11"/>
      <c r="D201" s="15"/>
      <c r="E201" s="3"/>
      <c r="F201" s="15" t="str">
        <f t="shared" si="2"/>
        <v/>
      </c>
      <c r="G201" s="13"/>
    </row>
    <row r="202" spans="1:7">
      <c r="A202" s="11"/>
      <c r="B202" s="7"/>
      <c r="C202" s="11"/>
      <c r="D202" s="15"/>
      <c r="E202" s="3"/>
      <c r="F202" s="15" t="str">
        <f t="shared" si="2"/>
        <v/>
      </c>
      <c r="G202" s="13"/>
    </row>
    <row r="203" spans="1:7">
      <c r="A203" s="11"/>
      <c r="B203" s="7"/>
      <c r="C203" s="11"/>
      <c r="D203" s="15"/>
      <c r="E203" s="3"/>
      <c r="F203" s="15" t="str">
        <f t="shared" ref="F203:F266" si="3">IF(D203="","",SUM(F202,D203))</f>
        <v/>
      </c>
      <c r="G203" s="13"/>
    </row>
    <row r="204" spans="1:7">
      <c r="A204" s="11"/>
      <c r="B204" s="7"/>
      <c r="C204" s="11"/>
      <c r="D204" s="15"/>
      <c r="E204" s="3"/>
      <c r="F204" s="15" t="str">
        <f t="shared" si="3"/>
        <v/>
      </c>
      <c r="G204" s="13"/>
    </row>
    <row r="205" spans="1:7">
      <c r="A205" s="11"/>
      <c r="B205" s="7"/>
      <c r="C205" s="11"/>
      <c r="D205" s="15"/>
      <c r="E205" s="3"/>
      <c r="F205" s="15" t="str">
        <f t="shared" si="3"/>
        <v/>
      </c>
      <c r="G205" s="13"/>
    </row>
    <row r="206" spans="1:7">
      <c r="A206" s="11"/>
      <c r="B206" s="7"/>
      <c r="C206" s="11"/>
      <c r="D206" s="15"/>
      <c r="E206" s="3"/>
      <c r="F206" s="15" t="str">
        <f t="shared" si="3"/>
        <v/>
      </c>
      <c r="G206" s="13"/>
    </row>
    <row r="207" spans="1:7">
      <c r="A207" s="11"/>
      <c r="B207" s="7"/>
      <c r="C207" s="11"/>
      <c r="D207" s="15"/>
      <c r="E207" s="3"/>
      <c r="F207" s="15" t="str">
        <f t="shared" si="3"/>
        <v/>
      </c>
      <c r="G207" s="13"/>
    </row>
    <row r="208" spans="1:7">
      <c r="A208" s="11"/>
      <c r="B208" s="7"/>
      <c r="C208" s="11"/>
      <c r="D208" s="15"/>
      <c r="E208" s="3"/>
      <c r="F208" s="15" t="str">
        <f t="shared" si="3"/>
        <v/>
      </c>
      <c r="G208" s="13"/>
    </row>
    <row r="209" spans="1:7">
      <c r="A209" s="11"/>
      <c r="B209" s="7"/>
      <c r="C209" s="11"/>
      <c r="D209" s="15"/>
      <c r="E209" s="3"/>
      <c r="F209" s="15" t="str">
        <f t="shared" si="3"/>
        <v/>
      </c>
      <c r="G209" s="13"/>
    </row>
    <row r="210" spans="1:7">
      <c r="A210" s="11"/>
      <c r="B210" s="7"/>
      <c r="C210" s="11"/>
      <c r="D210" s="15"/>
      <c r="E210" s="3"/>
      <c r="F210" s="15" t="str">
        <f t="shared" si="3"/>
        <v/>
      </c>
      <c r="G210" s="13"/>
    </row>
    <row r="211" spans="1:7">
      <c r="A211" s="11"/>
      <c r="B211" s="7"/>
      <c r="C211" s="11"/>
      <c r="D211" s="15"/>
      <c r="E211" s="3"/>
      <c r="F211" s="15" t="str">
        <f t="shared" si="3"/>
        <v/>
      </c>
      <c r="G211" s="13"/>
    </row>
    <row r="212" spans="1:7">
      <c r="A212" s="11"/>
      <c r="B212" s="7"/>
      <c r="C212" s="11"/>
      <c r="D212" s="15"/>
      <c r="E212" s="3"/>
      <c r="F212" s="15" t="str">
        <f t="shared" si="3"/>
        <v/>
      </c>
      <c r="G212" s="13"/>
    </row>
    <row r="213" spans="1:7">
      <c r="A213" s="11"/>
      <c r="B213" s="7"/>
      <c r="C213" s="11"/>
      <c r="D213" s="15"/>
      <c r="E213" s="3"/>
      <c r="F213" s="15" t="str">
        <f t="shared" si="3"/>
        <v/>
      </c>
      <c r="G213" s="13"/>
    </row>
    <row r="214" spans="1:7">
      <c r="A214" s="11"/>
      <c r="B214" s="7"/>
      <c r="C214" s="11"/>
      <c r="D214" s="15"/>
      <c r="E214" s="3"/>
      <c r="F214" s="15" t="str">
        <f t="shared" si="3"/>
        <v/>
      </c>
      <c r="G214" s="13"/>
    </row>
    <row r="215" spans="1:7">
      <c r="A215" s="11"/>
      <c r="B215" s="7"/>
      <c r="C215" s="11"/>
      <c r="D215" s="15"/>
      <c r="E215" s="3"/>
      <c r="F215" s="15" t="str">
        <f t="shared" si="3"/>
        <v/>
      </c>
      <c r="G215" s="13"/>
    </row>
    <row r="216" spans="1:7">
      <c r="A216" s="11"/>
      <c r="B216" s="7"/>
      <c r="C216" s="11"/>
      <c r="D216" s="15"/>
      <c r="E216" s="3"/>
      <c r="F216" s="15" t="str">
        <f t="shared" si="3"/>
        <v/>
      </c>
      <c r="G216" s="13"/>
    </row>
    <row r="217" spans="1:7">
      <c r="A217" s="11"/>
      <c r="B217" s="7"/>
      <c r="C217" s="11"/>
      <c r="D217" s="15"/>
      <c r="E217" s="3"/>
      <c r="F217" s="15" t="str">
        <f t="shared" si="3"/>
        <v/>
      </c>
      <c r="G217" s="13"/>
    </row>
    <row r="218" spans="1:7">
      <c r="A218" s="11"/>
      <c r="B218" s="7"/>
      <c r="C218" s="11"/>
      <c r="D218" s="15"/>
      <c r="E218" s="3"/>
      <c r="F218" s="15" t="str">
        <f t="shared" si="3"/>
        <v/>
      </c>
      <c r="G218" s="13"/>
    </row>
    <row r="219" spans="1:7">
      <c r="A219" s="11"/>
      <c r="B219" s="7"/>
      <c r="C219" s="11"/>
      <c r="D219" s="15"/>
      <c r="E219" s="3"/>
      <c r="F219" s="15" t="str">
        <f t="shared" si="3"/>
        <v/>
      </c>
      <c r="G219" s="13"/>
    </row>
    <row r="220" spans="1:7">
      <c r="A220" s="11"/>
      <c r="B220" s="7"/>
      <c r="C220" s="11"/>
      <c r="D220" s="15"/>
      <c r="E220" s="3"/>
      <c r="F220" s="15" t="str">
        <f t="shared" si="3"/>
        <v/>
      </c>
      <c r="G220" s="13"/>
    </row>
    <row r="221" spans="1:7">
      <c r="A221" s="11"/>
      <c r="B221" s="7"/>
      <c r="C221" s="11"/>
      <c r="D221" s="15"/>
      <c r="E221" s="3"/>
      <c r="F221" s="15" t="str">
        <f t="shared" si="3"/>
        <v/>
      </c>
      <c r="G221" s="13"/>
    </row>
    <row r="222" spans="1:7">
      <c r="A222" s="11"/>
      <c r="B222" s="7"/>
      <c r="C222" s="11"/>
      <c r="D222" s="15"/>
      <c r="E222" s="3"/>
      <c r="F222" s="15" t="str">
        <f t="shared" si="3"/>
        <v/>
      </c>
      <c r="G222" s="13"/>
    </row>
    <row r="223" spans="1:7">
      <c r="A223" s="11"/>
      <c r="B223" s="7"/>
      <c r="C223" s="11"/>
      <c r="D223" s="15"/>
      <c r="E223" s="3"/>
      <c r="F223" s="15" t="str">
        <f t="shared" si="3"/>
        <v/>
      </c>
      <c r="G223" s="13"/>
    </row>
    <row r="224" spans="1:7">
      <c r="A224" s="11"/>
      <c r="B224" s="7"/>
      <c r="C224" s="11"/>
      <c r="D224" s="15"/>
      <c r="E224" s="3"/>
      <c r="F224" s="15" t="str">
        <f t="shared" si="3"/>
        <v/>
      </c>
      <c r="G224" s="13"/>
    </row>
    <row r="225" spans="1:7">
      <c r="A225" s="11"/>
      <c r="B225" s="7"/>
      <c r="C225" s="11"/>
      <c r="D225" s="15"/>
      <c r="E225" s="3"/>
      <c r="F225" s="15" t="str">
        <f t="shared" si="3"/>
        <v/>
      </c>
      <c r="G225" s="13"/>
    </row>
    <row r="226" spans="1:7">
      <c r="A226" s="11"/>
      <c r="B226" s="7"/>
      <c r="C226" s="11"/>
      <c r="D226" s="15"/>
      <c r="E226" s="3"/>
      <c r="F226" s="15" t="str">
        <f t="shared" si="3"/>
        <v/>
      </c>
      <c r="G226" s="13"/>
    </row>
    <row r="227" spans="1:7">
      <c r="A227" s="11"/>
      <c r="B227" s="7"/>
      <c r="C227" s="11"/>
      <c r="D227" s="15"/>
      <c r="E227" s="3"/>
      <c r="F227" s="15" t="str">
        <f t="shared" si="3"/>
        <v/>
      </c>
      <c r="G227" s="13"/>
    </row>
    <row r="228" spans="1:7">
      <c r="A228" s="11"/>
      <c r="B228" s="7"/>
      <c r="C228" s="11"/>
      <c r="D228" s="15"/>
      <c r="E228" s="3"/>
      <c r="F228" s="15" t="str">
        <f t="shared" si="3"/>
        <v/>
      </c>
      <c r="G228" s="13"/>
    </row>
    <row r="229" spans="1:7">
      <c r="A229" s="11"/>
      <c r="B229" s="7"/>
      <c r="C229" s="11"/>
      <c r="D229" s="15"/>
      <c r="E229" s="3"/>
      <c r="F229" s="15" t="str">
        <f t="shared" si="3"/>
        <v/>
      </c>
      <c r="G229" s="13"/>
    </row>
    <row r="230" spans="1:7">
      <c r="A230" s="11"/>
      <c r="B230" s="7"/>
      <c r="C230" s="11"/>
      <c r="D230" s="15"/>
      <c r="E230" s="3"/>
      <c r="F230" s="15" t="str">
        <f t="shared" si="3"/>
        <v/>
      </c>
      <c r="G230" s="13"/>
    </row>
    <row r="231" spans="1:7">
      <c r="A231" s="11"/>
      <c r="B231" s="7"/>
      <c r="C231" s="11"/>
      <c r="D231" s="15"/>
      <c r="E231" s="3"/>
      <c r="F231" s="15" t="str">
        <f t="shared" si="3"/>
        <v/>
      </c>
      <c r="G231" s="13"/>
    </row>
    <row r="232" spans="1:7">
      <c r="A232" s="11"/>
      <c r="B232" s="7"/>
      <c r="C232" s="11"/>
      <c r="D232" s="15"/>
      <c r="E232" s="3"/>
      <c r="F232" s="15" t="str">
        <f t="shared" si="3"/>
        <v/>
      </c>
      <c r="G232" s="13"/>
    </row>
    <row r="233" spans="1:7">
      <c r="A233" s="11"/>
      <c r="B233" s="7"/>
      <c r="C233" s="11"/>
      <c r="D233" s="15"/>
      <c r="E233" s="3"/>
      <c r="F233" s="15" t="str">
        <f t="shared" si="3"/>
        <v/>
      </c>
      <c r="G233" s="13"/>
    </row>
    <row r="234" spans="1:7">
      <c r="A234" s="11"/>
      <c r="B234" s="7"/>
      <c r="C234" s="11"/>
      <c r="D234" s="15"/>
      <c r="E234" s="3"/>
      <c r="F234" s="15" t="str">
        <f t="shared" si="3"/>
        <v/>
      </c>
      <c r="G234" s="13"/>
    </row>
    <row r="235" spans="1:7">
      <c r="A235" s="11"/>
      <c r="B235" s="7"/>
      <c r="C235" s="11"/>
      <c r="D235" s="15"/>
      <c r="E235" s="3"/>
      <c r="F235" s="15" t="str">
        <f t="shared" si="3"/>
        <v/>
      </c>
      <c r="G235" s="13"/>
    </row>
    <row r="236" spans="1:7">
      <c r="A236" s="11"/>
      <c r="B236" s="7"/>
      <c r="C236" s="11"/>
      <c r="D236" s="15"/>
      <c r="E236" s="3"/>
      <c r="F236" s="15" t="str">
        <f t="shared" si="3"/>
        <v/>
      </c>
      <c r="G236" s="13"/>
    </row>
    <row r="237" spans="1:7">
      <c r="A237" s="11"/>
      <c r="B237" s="7"/>
      <c r="C237" s="11"/>
      <c r="D237" s="15"/>
      <c r="E237" s="3"/>
      <c r="F237" s="15" t="str">
        <f t="shared" si="3"/>
        <v/>
      </c>
      <c r="G237" s="13"/>
    </row>
    <row r="238" spans="1:7">
      <c r="A238" s="11"/>
      <c r="B238" s="7"/>
      <c r="C238" s="11"/>
      <c r="D238" s="15"/>
      <c r="E238" s="3"/>
      <c r="F238" s="15" t="str">
        <f t="shared" si="3"/>
        <v/>
      </c>
      <c r="G238" s="13"/>
    </row>
    <row r="239" spans="1:7">
      <c r="A239" s="11"/>
      <c r="B239" s="7"/>
      <c r="C239" s="11"/>
      <c r="D239" s="15"/>
      <c r="E239" s="3"/>
      <c r="F239" s="15" t="str">
        <f t="shared" si="3"/>
        <v/>
      </c>
      <c r="G239" s="13"/>
    </row>
    <row r="240" spans="1:7">
      <c r="A240" s="11"/>
      <c r="B240" s="7"/>
      <c r="C240" s="11"/>
      <c r="D240" s="15"/>
      <c r="E240" s="3"/>
      <c r="F240" s="15" t="str">
        <f t="shared" si="3"/>
        <v/>
      </c>
      <c r="G240" s="13"/>
    </row>
    <row r="241" spans="1:7">
      <c r="A241" s="11"/>
      <c r="B241" s="7"/>
      <c r="C241" s="11"/>
      <c r="D241" s="15"/>
      <c r="E241" s="3"/>
      <c r="F241" s="15" t="str">
        <f t="shared" si="3"/>
        <v/>
      </c>
      <c r="G241" s="13"/>
    </row>
    <row r="242" spans="1:7">
      <c r="A242" s="11"/>
      <c r="B242" s="7"/>
      <c r="C242" s="11"/>
      <c r="D242" s="15"/>
      <c r="E242" s="3"/>
      <c r="F242" s="15" t="str">
        <f t="shared" si="3"/>
        <v/>
      </c>
      <c r="G242" s="13"/>
    </row>
    <row r="243" spans="1:7">
      <c r="A243" s="11"/>
      <c r="B243" s="7"/>
      <c r="C243" s="11"/>
      <c r="D243" s="15"/>
      <c r="E243" s="3"/>
      <c r="F243" s="15" t="str">
        <f t="shared" si="3"/>
        <v/>
      </c>
      <c r="G243" s="13"/>
    </row>
    <row r="244" spans="1:7">
      <c r="A244" s="11"/>
      <c r="B244" s="7"/>
      <c r="C244" s="11"/>
      <c r="D244" s="15"/>
      <c r="E244" s="3"/>
      <c r="F244" s="15" t="str">
        <f t="shared" si="3"/>
        <v/>
      </c>
      <c r="G244" s="13"/>
    </row>
    <row r="245" spans="1:7">
      <c r="A245" s="11"/>
      <c r="B245" s="7"/>
      <c r="C245" s="11"/>
      <c r="D245" s="15"/>
      <c r="E245" s="3"/>
      <c r="F245" s="15" t="str">
        <f t="shared" si="3"/>
        <v/>
      </c>
      <c r="G245" s="13"/>
    </row>
    <row r="246" spans="1:7">
      <c r="A246" s="11"/>
      <c r="B246" s="7"/>
      <c r="C246" s="11"/>
      <c r="D246" s="15"/>
      <c r="E246" s="3"/>
      <c r="F246" s="15" t="str">
        <f t="shared" si="3"/>
        <v/>
      </c>
      <c r="G246" s="13"/>
    </row>
    <row r="247" spans="1:7">
      <c r="A247" s="11"/>
      <c r="B247" s="7"/>
      <c r="C247" s="11"/>
      <c r="D247" s="15"/>
      <c r="E247" s="3"/>
      <c r="F247" s="15" t="str">
        <f t="shared" si="3"/>
        <v/>
      </c>
      <c r="G247" s="13"/>
    </row>
    <row r="248" spans="1:7">
      <c r="A248" s="11"/>
      <c r="B248" s="7"/>
      <c r="C248" s="11"/>
      <c r="D248" s="15"/>
      <c r="E248" s="3"/>
      <c r="F248" s="15" t="str">
        <f t="shared" si="3"/>
        <v/>
      </c>
      <c r="G248" s="13"/>
    </row>
    <row r="249" spans="1:7">
      <c r="A249" s="11"/>
      <c r="B249" s="7"/>
      <c r="C249" s="11"/>
      <c r="D249" s="15"/>
      <c r="E249" s="3"/>
      <c r="F249" s="15" t="str">
        <f t="shared" si="3"/>
        <v/>
      </c>
      <c r="G249" s="13"/>
    </row>
    <row r="250" spans="1:7">
      <c r="A250" s="11"/>
      <c r="B250" s="7"/>
      <c r="C250" s="11"/>
      <c r="D250" s="15"/>
      <c r="E250" s="3"/>
      <c r="F250" s="15" t="str">
        <f t="shared" si="3"/>
        <v/>
      </c>
      <c r="G250" s="13"/>
    </row>
    <row r="251" spans="1:7">
      <c r="A251" s="11"/>
      <c r="B251" s="7"/>
      <c r="C251" s="11"/>
      <c r="D251" s="15"/>
      <c r="E251" s="3"/>
      <c r="F251" s="15" t="str">
        <f t="shared" si="3"/>
        <v/>
      </c>
      <c r="G251" s="13"/>
    </row>
    <row r="252" spans="1:7">
      <c r="A252" s="11"/>
      <c r="B252" s="7"/>
      <c r="C252" s="11"/>
      <c r="D252" s="15"/>
      <c r="E252" s="3"/>
      <c r="F252" s="15" t="str">
        <f t="shared" si="3"/>
        <v/>
      </c>
      <c r="G252" s="13"/>
    </row>
    <row r="253" spans="1:7">
      <c r="A253" s="11"/>
      <c r="B253" s="7"/>
      <c r="C253" s="11"/>
      <c r="D253" s="15"/>
      <c r="E253" s="3"/>
      <c r="F253" s="15" t="str">
        <f t="shared" si="3"/>
        <v/>
      </c>
      <c r="G253" s="13"/>
    </row>
    <row r="254" spans="1:7">
      <c r="A254" s="11"/>
      <c r="B254" s="7"/>
      <c r="C254" s="11"/>
      <c r="D254" s="15"/>
      <c r="E254" s="3"/>
      <c r="F254" s="15" t="str">
        <f t="shared" si="3"/>
        <v/>
      </c>
      <c r="G254" s="13"/>
    </row>
    <row r="255" spans="1:7">
      <c r="A255" s="11"/>
      <c r="B255" s="7"/>
      <c r="C255" s="11"/>
      <c r="D255" s="15"/>
      <c r="E255" s="3"/>
      <c r="F255" s="15" t="str">
        <f t="shared" si="3"/>
        <v/>
      </c>
      <c r="G255" s="13"/>
    </row>
    <row r="256" spans="1:7">
      <c r="A256" s="11"/>
      <c r="B256" s="7"/>
      <c r="C256" s="11"/>
      <c r="D256" s="15"/>
      <c r="E256" s="3"/>
      <c r="F256" s="15" t="str">
        <f t="shared" si="3"/>
        <v/>
      </c>
      <c r="G256" s="13"/>
    </row>
    <row r="257" spans="1:7">
      <c r="A257" s="11"/>
      <c r="B257" s="7"/>
      <c r="C257" s="11"/>
      <c r="D257" s="15"/>
      <c r="E257" s="3"/>
      <c r="F257" s="15" t="str">
        <f t="shared" si="3"/>
        <v/>
      </c>
      <c r="G257" s="13"/>
    </row>
    <row r="258" spans="1:7">
      <c r="A258" s="11"/>
      <c r="B258" s="7"/>
      <c r="C258" s="11"/>
      <c r="D258" s="15"/>
      <c r="E258" s="3"/>
      <c r="F258" s="15" t="str">
        <f t="shared" si="3"/>
        <v/>
      </c>
      <c r="G258" s="13"/>
    </row>
    <row r="259" spans="1:7">
      <c r="A259" s="11"/>
      <c r="B259" s="7"/>
      <c r="C259" s="11"/>
      <c r="D259" s="15"/>
      <c r="E259" s="3"/>
      <c r="F259" s="15" t="str">
        <f t="shared" si="3"/>
        <v/>
      </c>
      <c r="G259" s="13"/>
    </row>
    <row r="260" spans="1:7">
      <c r="A260" s="11"/>
      <c r="B260" s="7"/>
      <c r="C260" s="11"/>
      <c r="D260" s="15"/>
      <c r="E260" s="3"/>
      <c r="F260" s="15" t="str">
        <f t="shared" si="3"/>
        <v/>
      </c>
      <c r="G260" s="13"/>
    </row>
    <row r="261" spans="1:7">
      <c r="A261" s="11"/>
      <c r="B261" s="7"/>
      <c r="C261" s="11"/>
      <c r="D261" s="15"/>
      <c r="E261" s="3"/>
      <c r="F261" s="15" t="str">
        <f t="shared" si="3"/>
        <v/>
      </c>
      <c r="G261" s="13"/>
    </row>
    <row r="262" spans="1:7">
      <c r="A262" s="11"/>
      <c r="B262" s="7"/>
      <c r="C262" s="11"/>
      <c r="D262" s="15"/>
      <c r="E262" s="3"/>
      <c r="F262" s="15" t="str">
        <f t="shared" si="3"/>
        <v/>
      </c>
      <c r="G262" s="13"/>
    </row>
    <row r="263" spans="1:7">
      <c r="A263" s="11"/>
      <c r="B263" s="7"/>
      <c r="C263" s="11"/>
      <c r="D263" s="15"/>
      <c r="E263" s="3"/>
      <c r="F263" s="15" t="str">
        <f t="shared" si="3"/>
        <v/>
      </c>
      <c r="G263" s="13"/>
    </row>
    <row r="264" spans="1:7">
      <c r="A264" s="11"/>
      <c r="B264" s="7"/>
      <c r="C264" s="11"/>
      <c r="D264" s="15"/>
      <c r="E264" s="3"/>
      <c r="F264" s="15" t="str">
        <f t="shared" si="3"/>
        <v/>
      </c>
      <c r="G264" s="13"/>
    </row>
    <row r="265" spans="1:7">
      <c r="A265" s="11"/>
      <c r="B265" s="7"/>
      <c r="C265" s="11"/>
      <c r="D265" s="15"/>
      <c r="E265" s="3"/>
      <c r="F265" s="15" t="str">
        <f t="shared" si="3"/>
        <v/>
      </c>
      <c r="G265" s="13"/>
    </row>
    <row r="266" spans="1:7">
      <c r="A266" s="11"/>
      <c r="B266" s="7"/>
      <c r="C266" s="11"/>
      <c r="D266" s="15"/>
      <c r="E266" s="3"/>
      <c r="F266" s="15" t="str">
        <f t="shared" si="3"/>
        <v/>
      </c>
      <c r="G266" s="13"/>
    </row>
    <row r="267" spans="1:7">
      <c r="A267" s="11"/>
      <c r="B267" s="7"/>
      <c r="C267" s="11"/>
      <c r="D267" s="15"/>
      <c r="E267" s="3"/>
      <c r="F267" s="15" t="str">
        <f t="shared" ref="F267:F330" si="4">IF(D267="","",SUM(F266,D267))</f>
        <v/>
      </c>
      <c r="G267" s="13"/>
    </row>
    <row r="268" spans="1:7">
      <c r="A268" s="11"/>
      <c r="B268" s="7"/>
      <c r="C268" s="11"/>
      <c r="D268" s="15"/>
      <c r="E268" s="3"/>
      <c r="F268" s="15" t="str">
        <f t="shared" si="4"/>
        <v/>
      </c>
      <c r="G268" s="13"/>
    </row>
    <row r="269" spans="1:7">
      <c r="A269" s="11"/>
      <c r="B269" s="7"/>
      <c r="C269" s="11"/>
      <c r="D269" s="15"/>
      <c r="E269" s="3"/>
      <c r="F269" s="15" t="str">
        <f t="shared" si="4"/>
        <v/>
      </c>
      <c r="G269" s="13"/>
    </row>
    <row r="270" spans="1:7">
      <c r="A270" s="11"/>
      <c r="B270" s="7"/>
      <c r="C270" s="11"/>
      <c r="D270" s="15"/>
      <c r="E270" s="3"/>
      <c r="F270" s="15" t="str">
        <f t="shared" si="4"/>
        <v/>
      </c>
      <c r="G270" s="13"/>
    </row>
    <row r="271" spans="1:7">
      <c r="A271" s="11"/>
      <c r="B271" s="7"/>
      <c r="C271" s="11"/>
      <c r="D271" s="15"/>
      <c r="E271" s="3"/>
      <c r="F271" s="15" t="str">
        <f t="shared" si="4"/>
        <v/>
      </c>
      <c r="G271" s="13"/>
    </row>
    <row r="272" spans="1:7">
      <c r="A272" s="11"/>
      <c r="B272" s="7"/>
      <c r="C272" s="11"/>
      <c r="D272" s="15"/>
      <c r="E272" s="3"/>
      <c r="F272" s="15" t="str">
        <f t="shared" si="4"/>
        <v/>
      </c>
      <c r="G272" s="13"/>
    </row>
    <row r="273" spans="1:7">
      <c r="A273" s="11"/>
      <c r="B273" s="7"/>
      <c r="C273" s="11"/>
      <c r="D273" s="15"/>
      <c r="E273" s="3"/>
      <c r="F273" s="15" t="str">
        <f t="shared" si="4"/>
        <v/>
      </c>
      <c r="G273" s="13"/>
    </row>
    <row r="274" spans="1:7">
      <c r="A274" s="11"/>
      <c r="B274" s="7"/>
      <c r="C274" s="11"/>
      <c r="D274" s="15"/>
      <c r="E274" s="3"/>
      <c r="F274" s="15" t="str">
        <f t="shared" si="4"/>
        <v/>
      </c>
      <c r="G274" s="13"/>
    </row>
    <row r="275" spans="1:7">
      <c r="A275" s="11"/>
      <c r="B275" s="7"/>
      <c r="C275" s="11"/>
      <c r="D275" s="15"/>
      <c r="E275" s="3"/>
      <c r="F275" s="15" t="str">
        <f t="shared" si="4"/>
        <v/>
      </c>
      <c r="G275" s="13"/>
    </row>
    <row r="276" spans="1:7">
      <c r="A276" s="11"/>
      <c r="B276" s="7"/>
      <c r="C276" s="11"/>
      <c r="D276" s="15"/>
      <c r="E276" s="3"/>
      <c r="F276" s="15" t="str">
        <f t="shared" si="4"/>
        <v/>
      </c>
      <c r="G276" s="13"/>
    </row>
    <row r="277" spans="1:7">
      <c r="A277" s="11"/>
      <c r="B277" s="7"/>
      <c r="C277" s="11"/>
      <c r="D277" s="15"/>
      <c r="E277" s="3"/>
      <c r="F277" s="15" t="str">
        <f t="shared" si="4"/>
        <v/>
      </c>
      <c r="G277" s="13"/>
    </row>
    <row r="278" spans="1:7">
      <c r="A278" s="11"/>
      <c r="B278" s="7"/>
      <c r="C278" s="11"/>
      <c r="D278" s="15"/>
      <c r="E278" s="3"/>
      <c r="F278" s="15" t="str">
        <f t="shared" si="4"/>
        <v/>
      </c>
      <c r="G278" s="13"/>
    </row>
    <row r="279" spans="1:7">
      <c r="A279" s="11"/>
      <c r="B279" s="7"/>
      <c r="C279" s="11"/>
      <c r="D279" s="15"/>
      <c r="E279" s="3"/>
      <c r="F279" s="15" t="str">
        <f t="shared" si="4"/>
        <v/>
      </c>
      <c r="G279" s="13"/>
    </row>
    <row r="280" spans="1:7">
      <c r="A280" s="11"/>
      <c r="B280" s="7"/>
      <c r="C280" s="11"/>
      <c r="D280" s="15"/>
      <c r="E280" s="3"/>
      <c r="F280" s="15" t="str">
        <f t="shared" si="4"/>
        <v/>
      </c>
      <c r="G280" s="13"/>
    </row>
    <row r="281" spans="1:7">
      <c r="A281" s="11"/>
      <c r="B281" s="7"/>
      <c r="C281" s="11"/>
      <c r="D281" s="15"/>
      <c r="E281" s="3"/>
      <c r="F281" s="15" t="str">
        <f t="shared" si="4"/>
        <v/>
      </c>
      <c r="G281" s="13"/>
    </row>
    <row r="282" spans="1:7">
      <c r="A282" s="11"/>
      <c r="B282" s="7"/>
      <c r="C282" s="11"/>
      <c r="D282" s="15"/>
      <c r="E282" s="3"/>
      <c r="F282" s="15" t="str">
        <f t="shared" si="4"/>
        <v/>
      </c>
      <c r="G282" s="13"/>
    </row>
    <row r="283" spans="1:7">
      <c r="A283" s="11"/>
      <c r="B283" s="7"/>
      <c r="C283" s="11"/>
      <c r="D283" s="15"/>
      <c r="E283" s="3"/>
      <c r="F283" s="15" t="str">
        <f t="shared" si="4"/>
        <v/>
      </c>
      <c r="G283" s="13"/>
    </row>
    <row r="284" spans="1:7">
      <c r="A284" s="11"/>
      <c r="B284" s="7"/>
      <c r="C284" s="11"/>
      <c r="D284" s="15"/>
      <c r="E284" s="3"/>
      <c r="F284" s="15" t="str">
        <f t="shared" si="4"/>
        <v/>
      </c>
      <c r="G284" s="13"/>
    </row>
    <row r="285" spans="1:7">
      <c r="A285" s="11"/>
      <c r="B285" s="7"/>
      <c r="C285" s="11"/>
      <c r="D285" s="15"/>
      <c r="E285" s="3"/>
      <c r="F285" s="15" t="str">
        <f t="shared" si="4"/>
        <v/>
      </c>
      <c r="G285" s="13"/>
    </row>
    <row r="286" spans="1:7">
      <c r="A286" s="11"/>
      <c r="B286" s="7"/>
      <c r="C286" s="11"/>
      <c r="D286" s="15"/>
      <c r="E286" s="3"/>
      <c r="F286" s="15" t="str">
        <f t="shared" si="4"/>
        <v/>
      </c>
      <c r="G286" s="13"/>
    </row>
    <row r="287" spans="1:7">
      <c r="A287" s="11"/>
      <c r="B287" s="7"/>
      <c r="C287" s="11"/>
      <c r="D287" s="15"/>
      <c r="E287" s="3"/>
      <c r="F287" s="15" t="str">
        <f t="shared" si="4"/>
        <v/>
      </c>
      <c r="G287" s="13"/>
    </row>
    <row r="288" spans="1:7">
      <c r="A288" s="11"/>
      <c r="B288" s="7"/>
      <c r="C288" s="11"/>
      <c r="D288" s="15"/>
      <c r="E288" s="3"/>
      <c r="F288" s="15" t="str">
        <f t="shared" si="4"/>
        <v/>
      </c>
      <c r="G288" s="13"/>
    </row>
    <row r="289" spans="1:7">
      <c r="A289" s="11"/>
      <c r="B289" s="7"/>
      <c r="C289" s="11"/>
      <c r="D289" s="15"/>
      <c r="E289" s="3"/>
      <c r="F289" s="15" t="str">
        <f t="shared" si="4"/>
        <v/>
      </c>
      <c r="G289" s="13"/>
    </row>
    <row r="290" spans="1:7">
      <c r="A290" s="11"/>
      <c r="B290" s="7"/>
      <c r="C290" s="11"/>
      <c r="D290" s="15"/>
      <c r="E290" s="3"/>
      <c r="F290" s="15" t="str">
        <f t="shared" si="4"/>
        <v/>
      </c>
      <c r="G290" s="13"/>
    </row>
    <row r="291" spans="1:7">
      <c r="A291" s="11"/>
      <c r="B291" s="7"/>
      <c r="C291" s="11"/>
      <c r="D291" s="15"/>
      <c r="E291" s="3"/>
      <c r="F291" s="15" t="str">
        <f t="shared" si="4"/>
        <v/>
      </c>
      <c r="G291" s="13"/>
    </row>
    <row r="292" spans="1:7">
      <c r="A292" s="11"/>
      <c r="B292" s="7"/>
      <c r="C292" s="11"/>
      <c r="D292" s="15"/>
      <c r="E292" s="3"/>
      <c r="F292" s="15" t="str">
        <f t="shared" si="4"/>
        <v/>
      </c>
      <c r="G292" s="13"/>
    </row>
    <row r="293" spans="1:7">
      <c r="A293" s="11"/>
      <c r="B293" s="7"/>
      <c r="C293" s="11"/>
      <c r="D293" s="15"/>
      <c r="E293" s="3"/>
      <c r="F293" s="15" t="str">
        <f t="shared" si="4"/>
        <v/>
      </c>
      <c r="G293" s="13"/>
    </row>
    <row r="294" spans="1:7">
      <c r="A294" s="11"/>
      <c r="B294" s="7"/>
      <c r="C294" s="11"/>
      <c r="D294" s="15"/>
      <c r="E294" s="3"/>
      <c r="F294" s="15" t="str">
        <f t="shared" si="4"/>
        <v/>
      </c>
      <c r="G294" s="13"/>
    </row>
    <row r="295" spans="1:7">
      <c r="A295" s="11"/>
      <c r="B295" s="7"/>
      <c r="C295" s="11"/>
      <c r="D295" s="15"/>
      <c r="E295" s="3"/>
      <c r="F295" s="15" t="str">
        <f t="shared" si="4"/>
        <v/>
      </c>
      <c r="G295" s="13"/>
    </row>
    <row r="296" spans="1:7">
      <c r="A296" s="11"/>
      <c r="B296" s="7"/>
      <c r="C296" s="11"/>
      <c r="D296" s="15"/>
      <c r="E296" s="3"/>
      <c r="F296" s="15" t="str">
        <f t="shared" si="4"/>
        <v/>
      </c>
      <c r="G296" s="13"/>
    </row>
    <row r="297" spans="1:7">
      <c r="A297" s="11"/>
      <c r="B297" s="7"/>
      <c r="C297" s="11"/>
      <c r="D297" s="15"/>
      <c r="E297" s="3"/>
      <c r="F297" s="15" t="str">
        <f t="shared" si="4"/>
        <v/>
      </c>
      <c r="G297" s="13"/>
    </row>
    <row r="298" spans="1:7">
      <c r="A298" s="11"/>
      <c r="B298" s="7"/>
      <c r="C298" s="11"/>
      <c r="D298" s="15"/>
      <c r="E298" s="3"/>
      <c r="F298" s="15" t="str">
        <f t="shared" si="4"/>
        <v/>
      </c>
      <c r="G298" s="13"/>
    </row>
    <row r="299" spans="1:7">
      <c r="A299" s="11"/>
      <c r="B299" s="7"/>
      <c r="C299" s="11"/>
      <c r="D299" s="15"/>
      <c r="E299" s="3"/>
      <c r="F299" s="15" t="str">
        <f t="shared" si="4"/>
        <v/>
      </c>
      <c r="G299" s="13"/>
    </row>
    <row r="300" spans="1:7">
      <c r="A300" s="11"/>
      <c r="B300" s="7"/>
      <c r="C300" s="11"/>
      <c r="D300" s="15"/>
      <c r="E300" s="3"/>
      <c r="F300" s="15" t="str">
        <f t="shared" si="4"/>
        <v/>
      </c>
      <c r="G300" s="13"/>
    </row>
    <row r="301" spans="1:7">
      <c r="A301" s="11"/>
      <c r="B301" s="7"/>
      <c r="C301" s="11"/>
      <c r="D301" s="15"/>
      <c r="E301" s="3"/>
      <c r="F301" s="15" t="str">
        <f t="shared" si="4"/>
        <v/>
      </c>
      <c r="G301" s="13"/>
    </row>
    <row r="302" spans="1:7">
      <c r="A302" s="11"/>
      <c r="B302" s="7"/>
      <c r="C302" s="11"/>
      <c r="D302" s="15"/>
      <c r="E302" s="3"/>
      <c r="F302" s="15" t="str">
        <f t="shared" si="4"/>
        <v/>
      </c>
      <c r="G302" s="13"/>
    </row>
    <row r="303" spans="1:7">
      <c r="A303" s="11"/>
      <c r="B303" s="7"/>
      <c r="C303" s="11"/>
      <c r="D303" s="15"/>
      <c r="E303" s="3"/>
      <c r="F303" s="15" t="str">
        <f t="shared" si="4"/>
        <v/>
      </c>
      <c r="G303" s="13"/>
    </row>
    <row r="304" spans="1:7">
      <c r="A304" s="11"/>
      <c r="B304" s="7"/>
      <c r="C304" s="11"/>
      <c r="D304" s="15"/>
      <c r="E304" s="3"/>
      <c r="F304" s="15" t="str">
        <f t="shared" si="4"/>
        <v/>
      </c>
      <c r="G304" s="13"/>
    </row>
    <row r="305" spans="1:7">
      <c r="A305" s="11"/>
      <c r="B305" s="7"/>
      <c r="C305" s="11"/>
      <c r="D305" s="15"/>
      <c r="E305" s="3"/>
      <c r="F305" s="15" t="str">
        <f t="shared" si="4"/>
        <v/>
      </c>
      <c r="G305" s="13"/>
    </row>
    <row r="306" spans="1:7">
      <c r="A306" s="11"/>
      <c r="B306" s="7"/>
      <c r="C306" s="11"/>
      <c r="D306" s="15"/>
      <c r="E306" s="3"/>
      <c r="F306" s="15" t="str">
        <f t="shared" si="4"/>
        <v/>
      </c>
      <c r="G306" s="13"/>
    </row>
    <row r="307" spans="1:7">
      <c r="A307" s="11"/>
      <c r="B307" s="7"/>
      <c r="C307" s="11"/>
      <c r="D307" s="15"/>
      <c r="E307" s="3"/>
      <c r="F307" s="15" t="str">
        <f t="shared" si="4"/>
        <v/>
      </c>
      <c r="G307" s="13"/>
    </row>
    <row r="308" spans="1:7">
      <c r="A308" s="11"/>
      <c r="B308" s="7"/>
      <c r="C308" s="11"/>
      <c r="D308" s="15"/>
      <c r="E308" s="3"/>
      <c r="F308" s="15" t="str">
        <f t="shared" si="4"/>
        <v/>
      </c>
      <c r="G308" s="13"/>
    </row>
    <row r="309" spans="1:7">
      <c r="A309" s="11"/>
      <c r="B309" s="7"/>
      <c r="C309" s="11"/>
      <c r="D309" s="15"/>
      <c r="E309" s="3"/>
      <c r="F309" s="15" t="str">
        <f t="shared" si="4"/>
        <v/>
      </c>
      <c r="G309" s="13"/>
    </row>
    <row r="310" spans="1:7">
      <c r="A310" s="11"/>
      <c r="B310" s="7"/>
      <c r="C310" s="11"/>
      <c r="D310" s="15"/>
      <c r="E310" s="3"/>
      <c r="F310" s="15" t="str">
        <f t="shared" si="4"/>
        <v/>
      </c>
      <c r="G310" s="13"/>
    </row>
    <row r="311" spans="1:7">
      <c r="A311" s="11"/>
      <c r="B311" s="7"/>
      <c r="C311" s="11"/>
      <c r="D311" s="15"/>
      <c r="E311" s="3"/>
      <c r="F311" s="15" t="str">
        <f t="shared" si="4"/>
        <v/>
      </c>
      <c r="G311" s="13"/>
    </row>
    <row r="312" spans="1:7">
      <c r="A312" s="11"/>
      <c r="B312" s="7"/>
      <c r="C312" s="11"/>
      <c r="D312" s="15"/>
      <c r="E312" s="3"/>
      <c r="F312" s="15" t="str">
        <f t="shared" si="4"/>
        <v/>
      </c>
      <c r="G312" s="13"/>
    </row>
    <row r="313" spans="1:7">
      <c r="A313" s="11"/>
      <c r="B313" s="7"/>
      <c r="C313" s="11"/>
      <c r="D313" s="15"/>
      <c r="E313" s="3"/>
      <c r="F313" s="15" t="str">
        <f t="shared" si="4"/>
        <v/>
      </c>
      <c r="G313" s="13"/>
    </row>
    <row r="314" spans="1:7">
      <c r="A314" s="11"/>
      <c r="B314" s="7"/>
      <c r="C314" s="11"/>
      <c r="D314" s="15"/>
      <c r="E314" s="3"/>
      <c r="F314" s="15" t="str">
        <f t="shared" si="4"/>
        <v/>
      </c>
      <c r="G314" s="13"/>
    </row>
    <row r="315" spans="1:7">
      <c r="A315" s="11"/>
      <c r="B315" s="7"/>
      <c r="C315" s="11"/>
      <c r="D315" s="15"/>
      <c r="E315" s="3"/>
      <c r="F315" s="15" t="str">
        <f t="shared" si="4"/>
        <v/>
      </c>
      <c r="G315" s="13"/>
    </row>
    <row r="316" spans="1:7">
      <c r="A316" s="11"/>
      <c r="B316" s="7"/>
      <c r="C316" s="11"/>
      <c r="D316" s="15"/>
      <c r="E316" s="3"/>
      <c r="F316" s="15" t="str">
        <f t="shared" si="4"/>
        <v/>
      </c>
      <c r="G316" s="13"/>
    </row>
    <row r="317" spans="1:7">
      <c r="A317" s="11"/>
      <c r="B317" s="7"/>
      <c r="C317" s="11"/>
      <c r="D317" s="15"/>
      <c r="E317" s="3"/>
      <c r="F317" s="15" t="str">
        <f t="shared" si="4"/>
        <v/>
      </c>
      <c r="G317" s="13"/>
    </row>
    <row r="318" spans="1:7">
      <c r="A318" s="11"/>
      <c r="B318" s="7"/>
      <c r="C318" s="11"/>
      <c r="D318" s="15"/>
      <c r="E318" s="3"/>
      <c r="F318" s="15" t="str">
        <f t="shared" si="4"/>
        <v/>
      </c>
      <c r="G318" s="13"/>
    </row>
    <row r="319" spans="1:7">
      <c r="A319" s="11"/>
      <c r="B319" s="7"/>
      <c r="C319" s="11"/>
      <c r="D319" s="15"/>
      <c r="E319" s="3"/>
      <c r="F319" s="15" t="str">
        <f t="shared" si="4"/>
        <v/>
      </c>
      <c r="G319" s="13"/>
    </row>
    <row r="320" spans="1:7">
      <c r="A320" s="11"/>
      <c r="B320" s="7"/>
      <c r="C320" s="11"/>
      <c r="D320" s="15"/>
      <c r="E320" s="3"/>
      <c r="F320" s="15" t="str">
        <f t="shared" si="4"/>
        <v/>
      </c>
      <c r="G320" s="13"/>
    </row>
    <row r="321" spans="1:7">
      <c r="A321" s="11"/>
      <c r="B321" s="7"/>
      <c r="C321" s="11"/>
      <c r="D321" s="15"/>
      <c r="E321" s="3"/>
      <c r="F321" s="15" t="str">
        <f t="shared" si="4"/>
        <v/>
      </c>
      <c r="G321" s="13"/>
    </row>
    <row r="322" spans="1:7">
      <c r="A322" s="11"/>
      <c r="B322" s="7"/>
      <c r="C322" s="11"/>
      <c r="D322" s="15"/>
      <c r="E322" s="3"/>
      <c r="F322" s="15" t="str">
        <f t="shared" si="4"/>
        <v/>
      </c>
      <c r="G322" s="13"/>
    </row>
    <row r="323" spans="1:7">
      <c r="A323" s="11"/>
      <c r="B323" s="7"/>
      <c r="C323" s="11"/>
      <c r="D323" s="15"/>
      <c r="E323" s="3"/>
      <c r="F323" s="15" t="str">
        <f t="shared" si="4"/>
        <v/>
      </c>
      <c r="G323" s="13"/>
    </row>
    <row r="324" spans="1:7">
      <c r="A324" s="11"/>
      <c r="B324" s="7"/>
      <c r="C324" s="11"/>
      <c r="D324" s="15"/>
      <c r="E324" s="3"/>
      <c r="F324" s="15" t="str">
        <f t="shared" si="4"/>
        <v/>
      </c>
      <c r="G324" s="13"/>
    </row>
    <row r="325" spans="1:7">
      <c r="A325" s="11"/>
      <c r="B325" s="7"/>
      <c r="C325" s="11"/>
      <c r="D325" s="15"/>
      <c r="E325" s="3"/>
      <c r="F325" s="15" t="str">
        <f t="shared" si="4"/>
        <v/>
      </c>
      <c r="G325" s="13"/>
    </row>
    <row r="326" spans="1:7">
      <c r="A326" s="11"/>
      <c r="B326" s="7"/>
      <c r="C326" s="11"/>
      <c r="D326" s="15"/>
      <c r="E326" s="3"/>
      <c r="F326" s="15" t="str">
        <f t="shared" si="4"/>
        <v/>
      </c>
      <c r="G326" s="13"/>
    </row>
    <row r="327" spans="1:7">
      <c r="A327" s="11"/>
      <c r="B327" s="7"/>
      <c r="C327" s="11"/>
      <c r="D327" s="15"/>
      <c r="E327" s="3"/>
      <c r="F327" s="15" t="str">
        <f t="shared" si="4"/>
        <v/>
      </c>
      <c r="G327" s="13"/>
    </row>
    <row r="328" spans="1:7">
      <c r="A328" s="11"/>
      <c r="B328" s="7"/>
      <c r="C328" s="11"/>
      <c r="D328" s="15"/>
      <c r="E328" s="3"/>
      <c r="F328" s="15" t="str">
        <f t="shared" si="4"/>
        <v/>
      </c>
      <c r="G328" s="13"/>
    </row>
    <row r="329" spans="1:7">
      <c r="A329" s="11"/>
      <c r="B329" s="7"/>
      <c r="C329" s="11"/>
      <c r="D329" s="15"/>
      <c r="E329" s="3"/>
      <c r="F329" s="15" t="str">
        <f t="shared" si="4"/>
        <v/>
      </c>
      <c r="G329" s="13"/>
    </row>
    <row r="330" spans="1:7">
      <c r="A330" s="11"/>
      <c r="B330" s="7"/>
      <c r="C330" s="11"/>
      <c r="D330" s="15"/>
      <c r="E330" s="3"/>
      <c r="F330" s="15" t="str">
        <f t="shared" si="4"/>
        <v/>
      </c>
      <c r="G330" s="13"/>
    </row>
    <row r="331" spans="1:7">
      <c r="A331" s="11"/>
      <c r="B331" s="7"/>
      <c r="C331" s="11"/>
      <c r="D331" s="15"/>
      <c r="E331" s="3"/>
      <c r="F331" s="15" t="str">
        <f t="shared" ref="F331:F332" si="5">IF(D331="","",SUM(F330,D331))</f>
        <v/>
      </c>
      <c r="G331" s="13"/>
    </row>
    <row r="332" spans="1:7">
      <c r="A332" s="11"/>
      <c r="B332" s="7"/>
      <c r="C332" s="11"/>
      <c r="D332" s="15"/>
      <c r="E332" s="3"/>
      <c r="F332" s="15" t="str">
        <f t="shared" si="5"/>
        <v/>
      </c>
      <c r="G332" s="13"/>
    </row>
    <row r="333" spans="1:7">
      <c r="A333" s="3"/>
      <c r="B333" s="3"/>
      <c r="C333" s="3"/>
      <c r="D333" s="15"/>
      <c r="E333" s="3"/>
      <c r="F333" s="15"/>
      <c r="G333" s="13"/>
    </row>
    <row r="334" spans="1:7">
      <c r="A334" s="3"/>
      <c r="B334" s="3"/>
      <c r="C334" s="3"/>
      <c r="D334" s="15"/>
      <c r="E334" s="3"/>
      <c r="F334" s="15"/>
      <c r="G334" s="13"/>
    </row>
    <row r="335" spans="1:7">
      <c r="A335" s="3"/>
      <c r="B335" s="3"/>
      <c r="C335" s="3"/>
      <c r="D335" s="15"/>
      <c r="E335" s="3"/>
      <c r="F335" s="15"/>
      <c r="G335" s="13"/>
    </row>
    <row r="336" spans="1:7">
      <c r="A336" s="3"/>
      <c r="B336" s="3"/>
      <c r="C336" s="3"/>
      <c r="D336" s="15"/>
      <c r="E336" s="3"/>
      <c r="F336" s="15"/>
    </row>
    <row r="337" spans="1:6">
      <c r="A337" s="3"/>
      <c r="B337" s="3"/>
      <c r="C337" s="3"/>
      <c r="D337" s="15"/>
      <c r="E337" s="3"/>
      <c r="F337" s="15"/>
    </row>
  </sheetData>
  <mergeCells count="3">
    <mergeCell ref="C2:D2"/>
    <mergeCell ref="C3:D3"/>
    <mergeCell ref="C4:D4"/>
  </mergeCells>
  <dataValidations count="3">
    <dataValidation type="list" allowBlank="1" showInputMessage="1" showErrorMessage="1" sqref="C2">
      <formula1>Creditor</formula1>
    </dataValidation>
    <dataValidation type="list" allowBlank="1" showInputMessage="1" showErrorMessage="1" sqref="C3">
      <formula1>Site</formula1>
    </dataValidation>
    <dataValidation type="list" allowBlank="1" showInputMessage="1" showErrorMessage="1" sqref="C4">
      <formula1>"ค้างชำระ,ชำระแล้ว"</formula1>
    </dataValidation>
  </dataValidations>
  <pageMargins left="0.7" right="0.7" top="0.75" bottom="0.75" header="0.3" footer="0.3"/>
  <pageSetup paperSize="9" orientation="portrait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M295"/>
  <sheetViews>
    <sheetView workbookViewId="0">
      <pane ySplit="2" topLeftCell="A278" activePane="bottomLeft" state="frozen"/>
      <selection pane="bottomLeft" activeCell="D288" sqref="D288"/>
    </sheetView>
  </sheetViews>
  <sheetFormatPr defaultRowHeight="15"/>
  <cols>
    <col min="1" max="1" width="8.5703125" style="26" customWidth="1"/>
    <col min="2" max="2" width="14.7109375" style="27" customWidth="1"/>
    <col min="3" max="3" width="12.42578125" style="28" customWidth="1"/>
    <col min="4" max="4" width="13.42578125" style="27" customWidth="1"/>
    <col min="5" max="5" width="11.5703125" style="29" customWidth="1"/>
    <col min="6" max="6" width="18" style="29" customWidth="1"/>
    <col min="7" max="7" width="15.28515625" style="29" customWidth="1"/>
    <col min="8" max="8" width="11.7109375" style="29" customWidth="1"/>
    <col min="9" max="10" width="11.42578125" customWidth="1"/>
    <col min="11" max="12" width="9.7109375" bestFit="1" customWidth="1"/>
    <col min="13" max="13" width="15.140625" customWidth="1"/>
  </cols>
  <sheetData>
    <row r="1" spans="1:13" ht="24" customHeight="1">
      <c r="A1" s="34" t="s">
        <v>124</v>
      </c>
      <c r="B1" s="35"/>
      <c r="C1" s="35"/>
      <c r="D1" s="35"/>
      <c r="E1" s="35"/>
      <c r="F1" s="35"/>
      <c r="G1" s="35"/>
      <c r="H1" s="36"/>
    </row>
    <row r="2" spans="1:13">
      <c r="A2" s="30" t="s">
        <v>118</v>
      </c>
      <c r="B2" s="31" t="s">
        <v>119</v>
      </c>
      <c r="C2" s="32" t="s">
        <v>121</v>
      </c>
      <c r="D2" s="32" t="s">
        <v>120</v>
      </c>
      <c r="E2" s="30" t="s">
        <v>123</v>
      </c>
      <c r="F2" s="30" t="s">
        <v>122</v>
      </c>
      <c r="G2" s="30" t="s">
        <v>60</v>
      </c>
      <c r="H2" s="30" t="s">
        <v>116</v>
      </c>
      <c r="L2" s="1"/>
    </row>
    <row r="3" spans="1:13">
      <c r="A3" s="26">
        <v>1</v>
      </c>
      <c r="B3" s="27">
        <v>40465</v>
      </c>
      <c r="C3" s="28" t="s">
        <v>133</v>
      </c>
      <c r="D3" s="27">
        <v>40526</v>
      </c>
      <c r="E3" s="29">
        <v>27152.32</v>
      </c>
      <c r="F3" s="29" t="s">
        <v>5</v>
      </c>
      <c r="G3" s="29" t="s">
        <v>61</v>
      </c>
      <c r="H3" s="29" t="s">
        <v>127</v>
      </c>
      <c r="I3" s="24"/>
      <c r="K3" s="24"/>
      <c r="L3" s="1"/>
      <c r="M3" s="25"/>
    </row>
    <row r="4" spans="1:13">
      <c r="A4" s="26">
        <v>2</v>
      </c>
      <c r="B4" s="27">
        <v>40478</v>
      </c>
      <c r="C4" s="28" t="s">
        <v>134</v>
      </c>
      <c r="D4" s="27">
        <v>40539</v>
      </c>
      <c r="E4" s="29">
        <v>242023.3</v>
      </c>
      <c r="F4" s="29" t="s">
        <v>5</v>
      </c>
      <c r="G4" s="29" t="s">
        <v>61</v>
      </c>
      <c r="H4" s="29" t="s">
        <v>127</v>
      </c>
      <c r="I4" s="24"/>
      <c r="K4" s="24"/>
      <c r="L4" s="1"/>
      <c r="M4" s="25"/>
    </row>
    <row r="5" spans="1:13">
      <c r="A5" s="26">
        <v>152</v>
      </c>
      <c r="B5" s="27">
        <v>40883</v>
      </c>
      <c r="C5" s="28" t="s">
        <v>136</v>
      </c>
      <c r="D5" s="27">
        <v>40883</v>
      </c>
      <c r="E5" s="29">
        <v>23292.83</v>
      </c>
      <c r="F5" s="29" t="s">
        <v>5</v>
      </c>
      <c r="G5" s="29" t="s">
        <v>61</v>
      </c>
      <c r="H5" s="29" t="s">
        <v>127</v>
      </c>
      <c r="I5" s="24"/>
      <c r="K5" s="24"/>
      <c r="L5" s="1"/>
      <c r="M5" s="25"/>
    </row>
    <row r="6" spans="1:13">
      <c r="A6" s="26">
        <v>153</v>
      </c>
      <c r="B6" s="27">
        <v>40883</v>
      </c>
      <c r="C6" s="28" t="s">
        <v>137</v>
      </c>
      <c r="D6" s="27">
        <v>40883</v>
      </c>
      <c r="E6" s="29">
        <v>15245.36</v>
      </c>
      <c r="F6" s="29" t="s">
        <v>5</v>
      </c>
      <c r="G6" s="29" t="s">
        <v>61</v>
      </c>
      <c r="H6" s="29" t="s">
        <v>127</v>
      </c>
      <c r="I6" s="24"/>
      <c r="K6" s="24"/>
      <c r="L6" s="1"/>
      <c r="M6" s="25"/>
    </row>
    <row r="7" spans="1:13">
      <c r="A7" s="26">
        <v>154</v>
      </c>
      <c r="B7" s="27">
        <v>40891</v>
      </c>
      <c r="C7" s="28" t="s">
        <v>138</v>
      </c>
      <c r="D7" s="27">
        <v>40891</v>
      </c>
      <c r="E7" s="29">
        <v>226037.5</v>
      </c>
      <c r="F7" s="29" t="s">
        <v>5</v>
      </c>
      <c r="G7" s="29" t="s">
        <v>61</v>
      </c>
      <c r="H7" s="29" t="s">
        <v>127</v>
      </c>
      <c r="I7" s="24"/>
      <c r="K7" s="24"/>
      <c r="L7" s="1"/>
      <c r="M7" s="25"/>
    </row>
    <row r="8" spans="1:13">
      <c r="A8" s="26">
        <v>155</v>
      </c>
      <c r="B8" s="27">
        <v>40898</v>
      </c>
      <c r="C8" s="28" t="s">
        <v>139</v>
      </c>
      <c r="D8" s="27">
        <v>40898</v>
      </c>
      <c r="E8" s="29">
        <v>161578.56</v>
      </c>
      <c r="F8" s="29" t="s">
        <v>5</v>
      </c>
      <c r="G8" s="29" t="s">
        <v>61</v>
      </c>
      <c r="H8" s="29" t="s">
        <v>127</v>
      </c>
      <c r="I8" s="24"/>
      <c r="K8" s="24"/>
      <c r="L8" s="1"/>
      <c r="M8" s="25"/>
    </row>
    <row r="9" spans="1:13">
      <c r="A9" s="26">
        <v>170</v>
      </c>
      <c r="B9" s="27">
        <v>40723</v>
      </c>
      <c r="C9" s="28" t="s">
        <v>140</v>
      </c>
      <c r="D9" s="27">
        <v>40753</v>
      </c>
      <c r="E9" s="29">
        <v>59267.839999999997</v>
      </c>
      <c r="F9" s="29" t="s">
        <v>5</v>
      </c>
      <c r="G9" s="29" t="s">
        <v>64</v>
      </c>
      <c r="H9" s="29" t="s">
        <v>127</v>
      </c>
      <c r="I9" s="24"/>
    </row>
    <row r="10" spans="1:13">
      <c r="A10" s="26">
        <v>171</v>
      </c>
      <c r="B10" s="27">
        <v>40744</v>
      </c>
      <c r="C10" s="28" t="s">
        <v>141</v>
      </c>
      <c r="D10" s="27">
        <v>40744</v>
      </c>
      <c r="E10" s="29">
        <v>3648.7</v>
      </c>
      <c r="F10" s="29" t="s">
        <v>5</v>
      </c>
      <c r="G10" s="29" t="s">
        <v>64</v>
      </c>
      <c r="H10" s="29" t="s">
        <v>127</v>
      </c>
      <c r="I10" s="24"/>
    </row>
    <row r="11" spans="1:13">
      <c r="A11" s="26">
        <v>172</v>
      </c>
      <c r="B11" s="27">
        <v>40744</v>
      </c>
      <c r="C11" s="28" t="s">
        <v>142</v>
      </c>
      <c r="D11" s="27">
        <v>40744</v>
      </c>
      <c r="E11" s="29">
        <v>9710.25</v>
      </c>
      <c r="F11" s="29" t="s">
        <v>5</v>
      </c>
      <c r="G11" s="29" t="s">
        <v>64</v>
      </c>
      <c r="H11" s="29" t="s">
        <v>127</v>
      </c>
      <c r="I11" s="24"/>
    </row>
    <row r="12" spans="1:13">
      <c r="A12" s="26">
        <v>173</v>
      </c>
      <c r="B12" s="27">
        <v>40777</v>
      </c>
      <c r="C12" s="28" t="s">
        <v>143</v>
      </c>
      <c r="D12" s="27">
        <v>40777</v>
      </c>
      <c r="E12" s="29">
        <v>3717.18</v>
      </c>
      <c r="F12" s="29" t="s">
        <v>5</v>
      </c>
      <c r="G12" s="29" t="s">
        <v>64</v>
      </c>
      <c r="H12" s="29" t="s">
        <v>127</v>
      </c>
      <c r="I12" s="24"/>
    </row>
    <row r="13" spans="1:13">
      <c r="A13" s="26">
        <v>189</v>
      </c>
      <c r="B13" s="27">
        <v>40808</v>
      </c>
      <c r="C13" s="28" t="s">
        <v>145</v>
      </c>
      <c r="D13" s="27">
        <v>40808</v>
      </c>
      <c r="E13" s="29">
        <v>121980</v>
      </c>
      <c r="F13" s="29" t="s">
        <v>5</v>
      </c>
      <c r="G13" s="29" t="s">
        <v>66</v>
      </c>
      <c r="H13" s="29" t="s">
        <v>127</v>
      </c>
      <c r="I13" s="24"/>
      <c r="J13" s="24"/>
    </row>
    <row r="14" spans="1:13">
      <c r="A14" s="26">
        <v>190</v>
      </c>
      <c r="B14" s="27">
        <v>40808</v>
      </c>
      <c r="C14" s="28" t="s">
        <v>146</v>
      </c>
      <c r="D14" s="27">
        <v>40808</v>
      </c>
      <c r="E14" s="29">
        <v>47071.44</v>
      </c>
      <c r="F14" s="29" t="s">
        <v>5</v>
      </c>
      <c r="G14" s="29" t="s">
        <v>66</v>
      </c>
      <c r="H14" s="29" t="s">
        <v>127</v>
      </c>
      <c r="I14" s="24"/>
      <c r="J14" s="24"/>
    </row>
    <row r="15" spans="1:13">
      <c r="A15" s="26">
        <v>191</v>
      </c>
      <c r="B15" s="27">
        <v>40817</v>
      </c>
      <c r="C15" s="28" t="s">
        <v>147</v>
      </c>
      <c r="D15" s="27">
        <v>40848</v>
      </c>
      <c r="E15" s="29">
        <v>63698.17</v>
      </c>
      <c r="F15" s="29" t="s">
        <v>5</v>
      </c>
      <c r="G15" s="29" t="s">
        <v>66</v>
      </c>
      <c r="H15" s="29" t="s">
        <v>127</v>
      </c>
      <c r="I15" s="24"/>
      <c r="J15" s="24"/>
    </row>
    <row r="16" spans="1:13">
      <c r="A16" s="26">
        <v>192</v>
      </c>
      <c r="B16" s="27">
        <v>40822</v>
      </c>
      <c r="C16" s="28" t="s">
        <v>148</v>
      </c>
      <c r="D16" s="27">
        <v>40852</v>
      </c>
      <c r="E16" s="29">
        <v>19251.439999999999</v>
      </c>
      <c r="F16" s="29" t="s">
        <v>5</v>
      </c>
      <c r="G16" s="29" t="s">
        <v>66</v>
      </c>
      <c r="H16" s="29" t="s">
        <v>127</v>
      </c>
      <c r="I16" s="24"/>
      <c r="J16" s="24"/>
    </row>
    <row r="17" spans="1:10">
      <c r="A17" s="26">
        <v>193</v>
      </c>
      <c r="B17" s="27">
        <v>40822</v>
      </c>
      <c r="C17" s="28" t="s">
        <v>149</v>
      </c>
      <c r="D17" s="27">
        <v>40852</v>
      </c>
      <c r="E17" s="29">
        <v>23112</v>
      </c>
      <c r="F17" s="29" t="s">
        <v>5</v>
      </c>
      <c r="G17" s="29" t="s">
        <v>66</v>
      </c>
      <c r="H17" s="29" t="s">
        <v>127</v>
      </c>
      <c r="I17" s="24"/>
      <c r="J17" s="24"/>
    </row>
    <row r="18" spans="1:10">
      <c r="A18" s="26">
        <v>194</v>
      </c>
      <c r="B18" s="27">
        <v>40827</v>
      </c>
      <c r="C18" s="28" t="s">
        <v>150</v>
      </c>
      <c r="D18" s="27">
        <v>40857</v>
      </c>
      <c r="E18" s="29">
        <v>31380.959999999999</v>
      </c>
      <c r="F18" s="29" t="s">
        <v>5</v>
      </c>
      <c r="G18" s="29" t="s">
        <v>66</v>
      </c>
      <c r="H18" s="29" t="s">
        <v>127</v>
      </c>
      <c r="I18" s="24"/>
      <c r="J18" s="24"/>
    </row>
    <row r="19" spans="1:10">
      <c r="A19" s="26">
        <v>195</v>
      </c>
      <c r="B19" s="27">
        <v>40828</v>
      </c>
      <c r="C19" s="28" t="s">
        <v>151</v>
      </c>
      <c r="D19" s="27">
        <v>40858</v>
      </c>
      <c r="E19" s="29">
        <v>31380.959999999999</v>
      </c>
      <c r="F19" s="29" t="s">
        <v>5</v>
      </c>
      <c r="G19" s="29" t="s">
        <v>66</v>
      </c>
      <c r="H19" s="29" t="s">
        <v>127</v>
      </c>
      <c r="I19" s="24"/>
      <c r="J19" s="24"/>
    </row>
    <row r="20" spans="1:10">
      <c r="A20" s="26">
        <v>196</v>
      </c>
      <c r="B20" s="27">
        <v>40838</v>
      </c>
      <c r="C20" s="28" t="s">
        <v>152</v>
      </c>
      <c r="D20" s="27">
        <v>40868</v>
      </c>
      <c r="E20" s="29">
        <v>65056</v>
      </c>
      <c r="F20" s="29" t="s">
        <v>5</v>
      </c>
      <c r="G20" s="29" t="s">
        <v>66</v>
      </c>
      <c r="H20" s="29" t="s">
        <v>127</v>
      </c>
      <c r="I20" s="24"/>
      <c r="J20" s="24"/>
    </row>
    <row r="21" spans="1:10">
      <c r="A21" s="26">
        <v>197</v>
      </c>
      <c r="B21" s="27">
        <v>40838</v>
      </c>
      <c r="C21" s="28" t="s">
        <v>153</v>
      </c>
      <c r="D21" s="27">
        <v>40868</v>
      </c>
      <c r="E21" s="29">
        <v>31380.959999999999</v>
      </c>
      <c r="F21" s="29" t="s">
        <v>5</v>
      </c>
      <c r="G21" s="29" t="s">
        <v>66</v>
      </c>
      <c r="H21" s="29" t="s">
        <v>127</v>
      </c>
      <c r="I21" s="24"/>
      <c r="J21" s="24"/>
    </row>
    <row r="22" spans="1:10">
      <c r="A22" s="26">
        <v>198</v>
      </c>
      <c r="B22" s="27">
        <v>40795</v>
      </c>
      <c r="C22" s="28" t="s">
        <v>154</v>
      </c>
      <c r="D22" s="27">
        <v>40795</v>
      </c>
      <c r="E22" s="29">
        <v>163888.37</v>
      </c>
      <c r="F22" s="29" t="s">
        <v>5</v>
      </c>
      <c r="G22" s="29" t="s">
        <v>62</v>
      </c>
      <c r="H22" s="29" t="s">
        <v>127</v>
      </c>
      <c r="I22" s="24"/>
      <c r="J22" s="24"/>
    </row>
    <row r="23" spans="1:10">
      <c r="A23" s="26">
        <v>199</v>
      </c>
      <c r="B23" s="27">
        <v>40795</v>
      </c>
      <c r="C23" s="28" t="s">
        <v>155</v>
      </c>
      <c r="D23" s="27">
        <v>40795</v>
      </c>
      <c r="E23" s="29">
        <v>122987.73</v>
      </c>
      <c r="F23" s="29" t="s">
        <v>5</v>
      </c>
      <c r="G23" s="29" t="s">
        <v>62</v>
      </c>
      <c r="H23" s="29" t="s">
        <v>127</v>
      </c>
      <c r="I23" s="24"/>
      <c r="J23" s="24"/>
    </row>
    <row r="24" spans="1:10">
      <c r="A24" s="26">
        <v>200</v>
      </c>
      <c r="B24" s="27">
        <v>40805</v>
      </c>
      <c r="C24" s="28" t="s">
        <v>156</v>
      </c>
      <c r="D24" s="27">
        <v>40805</v>
      </c>
      <c r="E24" s="29">
        <v>47294</v>
      </c>
      <c r="F24" s="29" t="s">
        <v>5</v>
      </c>
      <c r="G24" s="29" t="s">
        <v>62</v>
      </c>
      <c r="H24" s="29" t="s">
        <v>127</v>
      </c>
      <c r="I24" s="24"/>
      <c r="J24" s="24"/>
    </row>
    <row r="25" spans="1:10">
      <c r="A25" s="26">
        <v>201</v>
      </c>
      <c r="B25" s="27">
        <v>40806</v>
      </c>
      <c r="C25" s="28" t="s">
        <v>157</v>
      </c>
      <c r="D25" s="27">
        <v>40806</v>
      </c>
      <c r="E25" s="29">
        <v>9458.7999999999993</v>
      </c>
      <c r="F25" s="29" t="s">
        <v>5</v>
      </c>
      <c r="G25" s="29" t="s">
        <v>62</v>
      </c>
      <c r="H25" s="29" t="s">
        <v>127</v>
      </c>
      <c r="I25" s="24"/>
      <c r="J25" s="24"/>
    </row>
    <row r="26" spans="1:10">
      <c r="A26" s="26">
        <v>202</v>
      </c>
      <c r="B26" s="27">
        <v>40806</v>
      </c>
      <c r="C26" s="28" t="s">
        <v>158</v>
      </c>
      <c r="D26" s="27">
        <v>40806</v>
      </c>
      <c r="E26" s="29">
        <v>9458.7999999999993</v>
      </c>
      <c r="F26" s="29" t="s">
        <v>5</v>
      </c>
      <c r="G26" s="29" t="s">
        <v>62</v>
      </c>
      <c r="H26" s="29" t="s">
        <v>127</v>
      </c>
      <c r="I26" s="24"/>
      <c r="J26" s="24"/>
    </row>
    <row r="27" spans="1:10">
      <c r="A27" s="26">
        <v>203</v>
      </c>
      <c r="B27" s="27">
        <v>40843</v>
      </c>
      <c r="C27" s="28" t="s">
        <v>159</v>
      </c>
      <c r="D27" s="27">
        <v>40873</v>
      </c>
      <c r="E27" s="29">
        <v>35493.4</v>
      </c>
      <c r="F27" s="29" t="s">
        <v>5</v>
      </c>
      <c r="G27" s="29" t="s">
        <v>62</v>
      </c>
      <c r="H27" s="29" t="s">
        <v>127</v>
      </c>
      <c r="I27" s="24"/>
      <c r="J27" s="24"/>
    </row>
    <row r="28" spans="1:10">
      <c r="A28" s="26">
        <v>204</v>
      </c>
      <c r="B28" s="27">
        <v>40843</v>
      </c>
      <c r="C28" s="28" t="s">
        <v>160</v>
      </c>
      <c r="D28" s="27">
        <v>40873</v>
      </c>
      <c r="E28" s="29">
        <v>180890.29</v>
      </c>
      <c r="F28" s="29" t="s">
        <v>5</v>
      </c>
      <c r="G28" s="29" t="s">
        <v>62</v>
      </c>
      <c r="H28" s="29" t="s">
        <v>127</v>
      </c>
      <c r="I28" s="24"/>
      <c r="J28" s="24"/>
    </row>
    <row r="29" spans="1:10">
      <c r="A29" s="26">
        <v>205</v>
      </c>
      <c r="B29" s="27">
        <v>40843</v>
      </c>
      <c r="C29" s="28" t="s">
        <v>161</v>
      </c>
      <c r="D29" s="27">
        <v>40873</v>
      </c>
      <c r="E29" s="29">
        <v>297718.19</v>
      </c>
      <c r="F29" s="29" t="s">
        <v>5</v>
      </c>
      <c r="G29" s="29" t="s">
        <v>62</v>
      </c>
      <c r="H29" s="29" t="s">
        <v>127</v>
      </c>
      <c r="I29" s="24"/>
      <c r="J29" s="24"/>
    </row>
    <row r="30" spans="1:10">
      <c r="A30" s="26">
        <v>206</v>
      </c>
      <c r="B30" s="27">
        <v>40849</v>
      </c>
      <c r="C30" s="28" t="s">
        <v>162</v>
      </c>
      <c r="D30" s="27">
        <v>40849</v>
      </c>
      <c r="F30" s="29" t="s">
        <v>5</v>
      </c>
      <c r="G30" s="29" t="s">
        <v>62</v>
      </c>
      <c r="H30" s="29" t="s">
        <v>127</v>
      </c>
      <c r="I30" s="24"/>
      <c r="J30" s="24"/>
    </row>
    <row r="31" spans="1:10">
      <c r="A31" s="26">
        <v>207</v>
      </c>
      <c r="B31" s="27">
        <v>40849</v>
      </c>
      <c r="C31" s="28" t="s">
        <v>163</v>
      </c>
      <c r="D31" s="27">
        <v>40849</v>
      </c>
      <c r="E31" s="29">
        <v>584776.4</v>
      </c>
      <c r="F31" s="29" t="s">
        <v>5</v>
      </c>
      <c r="G31" s="29" t="s">
        <v>62</v>
      </c>
      <c r="H31" s="29" t="s">
        <v>127</v>
      </c>
      <c r="I31" s="24"/>
      <c r="J31" s="24"/>
    </row>
    <row r="32" spans="1:10">
      <c r="A32" s="26">
        <v>208</v>
      </c>
      <c r="B32" s="27">
        <v>40849</v>
      </c>
      <c r="C32" s="28" t="s">
        <v>164</v>
      </c>
      <c r="D32" s="27">
        <v>40849</v>
      </c>
      <c r="E32" s="29">
        <v>22784.58</v>
      </c>
      <c r="F32" s="29" t="s">
        <v>5</v>
      </c>
      <c r="G32" s="29" t="s">
        <v>62</v>
      </c>
      <c r="H32" s="29" t="s">
        <v>127</v>
      </c>
      <c r="I32" s="24"/>
      <c r="J32" s="24"/>
    </row>
    <row r="33" spans="1:10">
      <c r="A33" s="26">
        <v>209</v>
      </c>
      <c r="B33" s="27">
        <v>40866</v>
      </c>
      <c r="C33" s="28" t="s">
        <v>165</v>
      </c>
      <c r="D33" s="27">
        <v>40866</v>
      </c>
      <c r="E33" s="29">
        <v>31554.3</v>
      </c>
      <c r="F33" s="29" t="s">
        <v>5</v>
      </c>
      <c r="G33" s="29" t="s">
        <v>62</v>
      </c>
      <c r="H33" s="29" t="s">
        <v>127</v>
      </c>
      <c r="I33" s="24"/>
      <c r="J33" s="24"/>
    </row>
    <row r="34" spans="1:10">
      <c r="A34" s="26">
        <v>210</v>
      </c>
      <c r="B34" s="27">
        <v>40877</v>
      </c>
      <c r="C34" s="28" t="s">
        <v>166</v>
      </c>
      <c r="D34" s="27">
        <v>40877</v>
      </c>
      <c r="E34" s="29">
        <v>115393.08</v>
      </c>
      <c r="F34" s="29" t="s">
        <v>5</v>
      </c>
      <c r="G34" s="29" t="s">
        <v>62</v>
      </c>
      <c r="H34" s="29" t="s">
        <v>127</v>
      </c>
      <c r="I34" s="24"/>
      <c r="J34" s="24"/>
    </row>
    <row r="35" spans="1:10">
      <c r="A35" s="26">
        <v>211</v>
      </c>
      <c r="B35" s="27">
        <v>40877</v>
      </c>
      <c r="C35" s="28" t="s">
        <v>167</v>
      </c>
      <c r="D35" s="27">
        <v>40877</v>
      </c>
      <c r="E35" s="29">
        <v>99734.7</v>
      </c>
      <c r="F35" s="29" t="s">
        <v>5</v>
      </c>
      <c r="G35" s="29" t="s">
        <v>62</v>
      </c>
      <c r="H35" s="29" t="s">
        <v>127</v>
      </c>
      <c r="I35" s="24"/>
      <c r="J35" s="24"/>
    </row>
    <row r="36" spans="1:10">
      <c r="A36" s="26">
        <v>212</v>
      </c>
      <c r="B36" s="27">
        <v>40877</v>
      </c>
      <c r="C36" s="28" t="s">
        <v>168</v>
      </c>
      <c r="D36" s="27">
        <v>40877</v>
      </c>
      <c r="E36" s="29">
        <v>74557.600000000006</v>
      </c>
      <c r="F36" s="29" t="s">
        <v>5</v>
      </c>
      <c r="G36" s="29" t="s">
        <v>62</v>
      </c>
      <c r="H36" s="29" t="s">
        <v>127</v>
      </c>
      <c r="I36" s="24"/>
      <c r="J36" s="24"/>
    </row>
    <row r="37" spans="1:10">
      <c r="A37" s="26">
        <v>213</v>
      </c>
      <c r="B37" s="27">
        <v>40877</v>
      </c>
      <c r="C37" s="28" t="s">
        <v>169</v>
      </c>
      <c r="D37" s="27">
        <v>40877</v>
      </c>
      <c r="E37" s="29">
        <v>196186.64</v>
      </c>
      <c r="F37" s="29" t="s">
        <v>5</v>
      </c>
      <c r="G37" s="29" t="s">
        <v>62</v>
      </c>
      <c r="H37" s="29" t="s">
        <v>127</v>
      </c>
      <c r="I37" s="24"/>
      <c r="J37" s="24"/>
    </row>
    <row r="38" spans="1:10">
      <c r="A38" s="26">
        <v>214</v>
      </c>
      <c r="B38" s="27">
        <v>40877</v>
      </c>
      <c r="C38" s="28" t="s">
        <v>170</v>
      </c>
      <c r="D38" s="27">
        <v>40877</v>
      </c>
      <c r="E38" s="29">
        <v>79443.86</v>
      </c>
      <c r="F38" s="29" t="s">
        <v>5</v>
      </c>
      <c r="G38" s="29" t="s">
        <v>62</v>
      </c>
      <c r="H38" s="29" t="s">
        <v>127</v>
      </c>
      <c r="I38" s="24"/>
      <c r="J38" s="24"/>
    </row>
    <row r="39" spans="1:10">
      <c r="A39" s="26">
        <v>215</v>
      </c>
      <c r="B39" s="27">
        <v>40877</v>
      </c>
      <c r="C39" s="28" t="s">
        <v>171</v>
      </c>
      <c r="D39" s="27">
        <v>40877</v>
      </c>
      <c r="E39" s="29">
        <v>135397.79999999999</v>
      </c>
      <c r="F39" s="29" t="s">
        <v>5</v>
      </c>
      <c r="G39" s="29" t="s">
        <v>62</v>
      </c>
      <c r="H39" s="29" t="s">
        <v>127</v>
      </c>
      <c r="I39" s="24"/>
      <c r="J39" s="24"/>
    </row>
    <row r="40" spans="1:10">
      <c r="A40" s="26">
        <v>216</v>
      </c>
      <c r="B40" s="27">
        <v>40877</v>
      </c>
      <c r="C40" s="28" t="s">
        <v>172</v>
      </c>
      <c r="D40" s="27">
        <v>40877</v>
      </c>
      <c r="E40" s="29">
        <v>35434.550000000003</v>
      </c>
      <c r="F40" s="29" t="s">
        <v>5</v>
      </c>
      <c r="G40" s="29" t="s">
        <v>62</v>
      </c>
      <c r="H40" s="29" t="s">
        <v>127</v>
      </c>
      <c r="I40" s="24"/>
      <c r="J40" s="24"/>
    </row>
    <row r="41" spans="1:10">
      <c r="A41" s="26">
        <v>217</v>
      </c>
      <c r="B41" s="27">
        <v>40877</v>
      </c>
      <c r="C41" s="28" t="s">
        <v>173</v>
      </c>
      <c r="D41" s="27">
        <v>40877</v>
      </c>
      <c r="E41" s="29">
        <v>78982.69</v>
      </c>
      <c r="F41" s="29" t="s">
        <v>5</v>
      </c>
      <c r="G41" s="29" t="s">
        <v>62</v>
      </c>
      <c r="H41" s="29" t="s">
        <v>127</v>
      </c>
      <c r="I41" s="24"/>
      <c r="J41" s="24"/>
    </row>
    <row r="42" spans="1:10">
      <c r="A42" s="26">
        <v>218</v>
      </c>
      <c r="B42" s="27">
        <v>40884</v>
      </c>
      <c r="C42" s="28" t="s">
        <v>174</v>
      </c>
      <c r="D42" s="27">
        <v>40884</v>
      </c>
      <c r="E42" s="29">
        <v>29767.4</v>
      </c>
      <c r="F42" s="29" t="s">
        <v>5</v>
      </c>
      <c r="G42" s="29" t="s">
        <v>62</v>
      </c>
      <c r="H42" s="29" t="s">
        <v>127</v>
      </c>
      <c r="I42" s="24"/>
      <c r="J42" s="24"/>
    </row>
    <row r="43" spans="1:10">
      <c r="A43" s="26">
        <v>219</v>
      </c>
      <c r="B43" s="27">
        <v>40884</v>
      </c>
      <c r="C43" s="28" t="s">
        <v>175</v>
      </c>
      <c r="D43" s="27">
        <v>40884</v>
      </c>
      <c r="E43" s="29">
        <v>7721.12</v>
      </c>
      <c r="F43" s="29" t="s">
        <v>5</v>
      </c>
      <c r="G43" s="29" t="s">
        <v>62</v>
      </c>
      <c r="H43" s="29" t="s">
        <v>127</v>
      </c>
      <c r="I43" s="24"/>
      <c r="J43" s="24"/>
    </row>
    <row r="44" spans="1:10">
      <c r="A44" s="26">
        <v>220</v>
      </c>
      <c r="B44" s="27">
        <v>40884</v>
      </c>
      <c r="C44" s="28" t="s">
        <v>176</v>
      </c>
      <c r="D44" s="27">
        <v>40884</v>
      </c>
      <c r="E44" s="29">
        <v>7415.1</v>
      </c>
      <c r="F44" s="29" t="s">
        <v>5</v>
      </c>
      <c r="G44" s="29" t="s">
        <v>62</v>
      </c>
      <c r="H44" s="29" t="s">
        <v>127</v>
      </c>
      <c r="I44" s="24"/>
      <c r="J44" s="24"/>
    </row>
    <row r="45" spans="1:10">
      <c r="A45" s="26">
        <v>221</v>
      </c>
      <c r="B45" s="27">
        <v>40884</v>
      </c>
      <c r="C45" s="28" t="s">
        <v>177</v>
      </c>
      <c r="D45" s="27">
        <v>40884</v>
      </c>
      <c r="E45" s="29">
        <v>43911.09</v>
      </c>
      <c r="F45" s="29" t="s">
        <v>5</v>
      </c>
      <c r="G45" s="29" t="s">
        <v>62</v>
      </c>
      <c r="H45" s="29" t="s">
        <v>127</v>
      </c>
      <c r="I45" s="24"/>
      <c r="J45" s="24"/>
    </row>
    <row r="46" spans="1:10">
      <c r="A46" s="26">
        <v>222</v>
      </c>
      <c r="B46" s="27">
        <v>40884</v>
      </c>
      <c r="C46" s="28" t="s">
        <v>178</v>
      </c>
      <c r="D46" s="27">
        <v>40884</v>
      </c>
      <c r="E46" s="29">
        <v>70276.53</v>
      </c>
      <c r="F46" s="29" t="s">
        <v>5</v>
      </c>
      <c r="G46" s="29" t="s">
        <v>62</v>
      </c>
      <c r="H46" s="29" t="s">
        <v>127</v>
      </c>
      <c r="I46" s="24"/>
      <c r="J46" s="24"/>
    </row>
    <row r="47" spans="1:10">
      <c r="A47" s="26">
        <v>223</v>
      </c>
      <c r="B47" s="27">
        <v>40884</v>
      </c>
      <c r="C47" s="28" t="s">
        <v>179</v>
      </c>
      <c r="D47" s="27">
        <v>40884</v>
      </c>
      <c r="E47" s="29">
        <v>11879.68</v>
      </c>
      <c r="F47" s="29" t="s">
        <v>5</v>
      </c>
      <c r="G47" s="29" t="s">
        <v>62</v>
      </c>
      <c r="H47" s="29" t="s">
        <v>127</v>
      </c>
      <c r="I47" s="24"/>
      <c r="J47" s="24"/>
    </row>
    <row r="48" spans="1:10">
      <c r="A48" s="26">
        <v>224</v>
      </c>
      <c r="B48" s="27">
        <v>40884</v>
      </c>
      <c r="C48" s="28" t="s">
        <v>180</v>
      </c>
      <c r="D48" s="27">
        <v>40884</v>
      </c>
      <c r="E48" s="29">
        <v>1337.07</v>
      </c>
      <c r="F48" s="29" t="s">
        <v>5</v>
      </c>
      <c r="G48" s="29" t="s">
        <v>62</v>
      </c>
      <c r="H48" s="29" t="s">
        <v>127</v>
      </c>
      <c r="I48" s="24"/>
      <c r="J48" s="24"/>
    </row>
    <row r="49" spans="1:10">
      <c r="A49" s="26">
        <v>225</v>
      </c>
      <c r="B49" s="27">
        <v>40884</v>
      </c>
      <c r="C49" s="28" t="s">
        <v>181</v>
      </c>
      <c r="D49" s="27">
        <v>40884</v>
      </c>
      <c r="E49" s="29">
        <v>8902.4</v>
      </c>
      <c r="F49" s="29" t="s">
        <v>5</v>
      </c>
      <c r="G49" s="29" t="s">
        <v>62</v>
      </c>
      <c r="H49" s="29" t="s">
        <v>127</v>
      </c>
      <c r="I49" s="24"/>
      <c r="J49" s="24"/>
    </row>
    <row r="50" spans="1:10">
      <c r="A50" s="26">
        <v>226</v>
      </c>
      <c r="B50" s="27">
        <v>40884</v>
      </c>
      <c r="C50" s="28" t="s">
        <v>182</v>
      </c>
      <c r="D50" s="27">
        <v>40884</v>
      </c>
      <c r="E50" s="29">
        <v>44504.62</v>
      </c>
      <c r="F50" s="29" t="s">
        <v>5</v>
      </c>
      <c r="G50" s="29" t="s">
        <v>62</v>
      </c>
      <c r="H50" s="29" t="s">
        <v>127</v>
      </c>
      <c r="I50" s="24"/>
      <c r="J50" s="24"/>
    </row>
    <row r="51" spans="1:10">
      <c r="A51" s="26">
        <v>227</v>
      </c>
      <c r="B51" s="27">
        <v>40894</v>
      </c>
      <c r="C51" s="28" t="s">
        <v>183</v>
      </c>
      <c r="D51" s="27">
        <v>40894</v>
      </c>
      <c r="E51" s="29">
        <v>45068.4</v>
      </c>
      <c r="F51" s="29" t="s">
        <v>5</v>
      </c>
      <c r="G51" s="29" t="s">
        <v>62</v>
      </c>
      <c r="H51" s="29" t="s">
        <v>127</v>
      </c>
      <c r="I51" s="24"/>
      <c r="J51" s="24"/>
    </row>
    <row r="52" spans="1:10">
      <c r="A52" s="26">
        <v>228</v>
      </c>
      <c r="B52" s="27">
        <v>40894</v>
      </c>
      <c r="C52" s="28" t="s">
        <v>184</v>
      </c>
      <c r="D52" s="27">
        <v>40894</v>
      </c>
      <c r="E52" s="29">
        <v>29897.51</v>
      </c>
      <c r="F52" s="29" t="s">
        <v>5</v>
      </c>
      <c r="G52" s="29" t="s">
        <v>62</v>
      </c>
      <c r="H52" s="29" t="s">
        <v>127</v>
      </c>
      <c r="I52" s="24"/>
      <c r="J52" s="24"/>
    </row>
    <row r="53" spans="1:10">
      <c r="A53" s="26">
        <v>229</v>
      </c>
      <c r="B53" s="27">
        <v>40894</v>
      </c>
      <c r="C53" s="28" t="s">
        <v>185</v>
      </c>
      <c r="D53" s="27">
        <v>40894</v>
      </c>
      <c r="E53" s="29">
        <v>24787.62</v>
      </c>
      <c r="F53" s="29" t="s">
        <v>5</v>
      </c>
      <c r="G53" s="29" t="s">
        <v>62</v>
      </c>
      <c r="H53" s="29" t="s">
        <v>127</v>
      </c>
      <c r="I53" s="24"/>
      <c r="J53" s="24"/>
    </row>
    <row r="54" spans="1:10">
      <c r="A54" s="26">
        <v>230</v>
      </c>
      <c r="B54" s="27">
        <v>40894</v>
      </c>
      <c r="C54" s="28" t="s">
        <v>186</v>
      </c>
      <c r="D54" s="27">
        <v>40894</v>
      </c>
      <c r="E54" s="29">
        <v>15880.51</v>
      </c>
      <c r="F54" s="29" t="s">
        <v>5</v>
      </c>
      <c r="G54" s="29" t="s">
        <v>62</v>
      </c>
      <c r="H54" s="29" t="s">
        <v>127</v>
      </c>
      <c r="I54" s="24"/>
      <c r="J54" s="24"/>
    </row>
    <row r="55" spans="1:10">
      <c r="A55" s="26">
        <v>231</v>
      </c>
      <c r="B55" s="27">
        <v>40894</v>
      </c>
      <c r="C55" s="28" t="s">
        <v>187</v>
      </c>
      <c r="D55" s="27">
        <v>40894</v>
      </c>
      <c r="E55" s="29">
        <v>5703.1</v>
      </c>
      <c r="F55" s="29" t="s">
        <v>5</v>
      </c>
      <c r="G55" s="29" t="s">
        <v>62</v>
      </c>
      <c r="H55" s="29" t="s">
        <v>127</v>
      </c>
      <c r="I55" s="24"/>
      <c r="J55" s="24"/>
    </row>
    <row r="56" spans="1:10">
      <c r="A56" s="26">
        <v>232</v>
      </c>
      <c r="B56" s="27">
        <v>40894</v>
      </c>
      <c r="C56" s="28" t="s">
        <v>188</v>
      </c>
      <c r="D56" s="27">
        <v>40894</v>
      </c>
      <c r="E56" s="29">
        <v>29634.720000000001</v>
      </c>
      <c r="F56" s="29" t="s">
        <v>5</v>
      </c>
      <c r="G56" s="29" t="s">
        <v>62</v>
      </c>
      <c r="H56" s="29" t="s">
        <v>127</v>
      </c>
      <c r="I56" s="24"/>
      <c r="J56" s="24"/>
    </row>
    <row r="57" spans="1:10">
      <c r="A57" s="26">
        <v>233</v>
      </c>
      <c r="B57" s="27">
        <v>40894</v>
      </c>
      <c r="C57" s="28" t="s">
        <v>189</v>
      </c>
      <c r="D57" s="27">
        <v>40894</v>
      </c>
      <c r="E57" s="29">
        <v>17205.599999999999</v>
      </c>
      <c r="F57" s="29" t="s">
        <v>5</v>
      </c>
      <c r="G57" s="29" t="s">
        <v>62</v>
      </c>
      <c r="H57" s="29" t="s">
        <v>127</v>
      </c>
      <c r="I57" s="24"/>
      <c r="J57" s="24"/>
    </row>
    <row r="58" spans="1:10">
      <c r="A58" s="26">
        <v>234</v>
      </c>
      <c r="B58" s="27">
        <v>40894</v>
      </c>
      <c r="C58" s="28" t="s">
        <v>190</v>
      </c>
      <c r="D58" s="27">
        <v>40894</v>
      </c>
      <c r="E58" s="29">
        <v>32367.5</v>
      </c>
      <c r="F58" s="29" t="s">
        <v>5</v>
      </c>
      <c r="G58" s="29" t="s">
        <v>62</v>
      </c>
      <c r="H58" s="29" t="s">
        <v>127</v>
      </c>
      <c r="I58" s="24"/>
      <c r="J58" s="24"/>
    </row>
    <row r="59" spans="1:10">
      <c r="A59" s="26">
        <v>235</v>
      </c>
      <c r="B59" s="27">
        <v>40894</v>
      </c>
      <c r="C59" s="28" t="s">
        <v>191</v>
      </c>
      <c r="D59" s="27">
        <v>40894</v>
      </c>
      <c r="E59" s="29">
        <v>196380.95</v>
      </c>
      <c r="F59" s="29" t="s">
        <v>5</v>
      </c>
      <c r="G59" s="29" t="s">
        <v>62</v>
      </c>
      <c r="H59" s="29" t="s">
        <v>127</v>
      </c>
      <c r="I59" s="24"/>
      <c r="J59" s="24"/>
    </row>
    <row r="60" spans="1:10">
      <c r="A60" s="26">
        <v>236</v>
      </c>
      <c r="B60" s="27">
        <v>40894</v>
      </c>
      <c r="C60" s="28" t="s">
        <v>192</v>
      </c>
      <c r="D60" s="27">
        <v>40894</v>
      </c>
      <c r="E60" s="29">
        <v>54932.3</v>
      </c>
      <c r="F60" s="29" t="s">
        <v>5</v>
      </c>
      <c r="G60" s="29" t="s">
        <v>62</v>
      </c>
      <c r="H60" s="29" t="s">
        <v>127</v>
      </c>
      <c r="I60" s="24"/>
      <c r="J60" s="24"/>
    </row>
    <row r="61" spans="1:10">
      <c r="A61" s="26">
        <v>237</v>
      </c>
      <c r="B61" s="27">
        <v>40894</v>
      </c>
      <c r="C61" s="28" t="s">
        <v>193</v>
      </c>
      <c r="D61" s="27">
        <v>40894</v>
      </c>
      <c r="E61" s="29">
        <v>76984.789999999994</v>
      </c>
      <c r="F61" s="29" t="s">
        <v>5</v>
      </c>
      <c r="G61" s="29" t="s">
        <v>62</v>
      </c>
      <c r="H61" s="29" t="s">
        <v>127</v>
      </c>
      <c r="I61" s="24"/>
      <c r="J61" s="24"/>
    </row>
    <row r="62" spans="1:10">
      <c r="A62" s="26">
        <v>238</v>
      </c>
      <c r="B62" s="27">
        <v>40894</v>
      </c>
      <c r="C62" s="28" t="s">
        <v>194</v>
      </c>
      <c r="D62" s="27">
        <v>40894</v>
      </c>
      <c r="E62" s="29">
        <v>26647.82</v>
      </c>
      <c r="F62" s="29" t="s">
        <v>5</v>
      </c>
      <c r="G62" s="29" t="s">
        <v>62</v>
      </c>
      <c r="H62" s="29" t="s">
        <v>127</v>
      </c>
      <c r="I62" s="24"/>
      <c r="J62" s="24"/>
    </row>
    <row r="63" spans="1:10">
      <c r="A63" s="26">
        <v>239</v>
      </c>
      <c r="B63" s="27">
        <v>40899</v>
      </c>
      <c r="C63" s="28" t="s">
        <v>195</v>
      </c>
      <c r="D63" s="27">
        <v>40899</v>
      </c>
      <c r="E63" s="29">
        <v>48406.8</v>
      </c>
      <c r="F63" s="29" t="s">
        <v>5</v>
      </c>
      <c r="G63" s="29" t="s">
        <v>62</v>
      </c>
      <c r="H63" s="29" t="s">
        <v>127</v>
      </c>
      <c r="I63" s="24"/>
      <c r="J63" s="24"/>
    </row>
    <row r="64" spans="1:10">
      <c r="A64" s="26">
        <v>240</v>
      </c>
      <c r="B64" s="27">
        <v>40899</v>
      </c>
      <c r="C64" s="28" t="s">
        <v>196</v>
      </c>
      <c r="D64" s="27">
        <v>40899</v>
      </c>
      <c r="E64" s="29">
        <v>49220</v>
      </c>
      <c r="F64" s="29" t="s">
        <v>5</v>
      </c>
      <c r="G64" s="29" t="s">
        <v>62</v>
      </c>
      <c r="H64" s="29" t="s">
        <v>127</v>
      </c>
      <c r="I64" s="24"/>
      <c r="J64" s="24"/>
    </row>
    <row r="65" spans="1:10">
      <c r="A65" s="26">
        <v>241</v>
      </c>
      <c r="B65" s="27">
        <v>40899</v>
      </c>
      <c r="C65" s="28" t="s">
        <v>197</v>
      </c>
      <c r="D65" s="27">
        <v>40899</v>
      </c>
      <c r="E65" s="29">
        <v>7566.93</v>
      </c>
      <c r="F65" s="29" t="s">
        <v>5</v>
      </c>
      <c r="G65" s="29" t="s">
        <v>62</v>
      </c>
      <c r="H65" s="29" t="s">
        <v>127</v>
      </c>
      <c r="I65" s="24"/>
      <c r="J65" s="24"/>
    </row>
    <row r="66" spans="1:10">
      <c r="A66" s="26">
        <v>242</v>
      </c>
      <c r="B66" s="27">
        <v>40904</v>
      </c>
      <c r="C66" s="28" t="s">
        <v>198</v>
      </c>
      <c r="D66" s="27">
        <v>40904</v>
      </c>
      <c r="E66" s="29">
        <v>13353.6</v>
      </c>
      <c r="F66" s="29" t="s">
        <v>5</v>
      </c>
      <c r="G66" s="29" t="s">
        <v>62</v>
      </c>
      <c r="H66" s="29" t="s">
        <v>127</v>
      </c>
      <c r="I66" s="24"/>
      <c r="J66" s="24"/>
    </row>
    <row r="67" spans="1:10">
      <c r="A67" s="26">
        <v>243</v>
      </c>
      <c r="B67" s="27">
        <v>40904</v>
      </c>
      <c r="C67" s="28" t="s">
        <v>199</v>
      </c>
      <c r="D67" s="27">
        <v>40904</v>
      </c>
      <c r="E67" s="29">
        <v>6648.98</v>
      </c>
      <c r="F67" s="29" t="s">
        <v>5</v>
      </c>
      <c r="G67" s="29" t="s">
        <v>62</v>
      </c>
      <c r="H67" s="29" t="s">
        <v>127</v>
      </c>
      <c r="I67" s="24"/>
      <c r="J67" s="24"/>
    </row>
    <row r="68" spans="1:10">
      <c r="A68" s="26">
        <v>244</v>
      </c>
      <c r="B68" s="27">
        <v>40904</v>
      </c>
      <c r="C68" s="28" t="s">
        <v>200</v>
      </c>
      <c r="D68" s="27">
        <v>40904</v>
      </c>
      <c r="E68" s="29">
        <v>163581.6</v>
      </c>
      <c r="F68" s="29" t="s">
        <v>5</v>
      </c>
      <c r="G68" s="29" t="s">
        <v>62</v>
      </c>
      <c r="H68" s="29" t="s">
        <v>127</v>
      </c>
      <c r="I68" s="24"/>
      <c r="J68" s="24"/>
    </row>
    <row r="69" spans="1:10">
      <c r="A69" s="26">
        <v>346</v>
      </c>
      <c r="B69" s="27">
        <v>40455</v>
      </c>
      <c r="C69" s="28" t="s">
        <v>204</v>
      </c>
      <c r="D69" s="27">
        <v>40485</v>
      </c>
      <c r="E69" s="29">
        <v>970578.68</v>
      </c>
      <c r="F69" s="29" t="s">
        <v>6</v>
      </c>
      <c r="G69" s="29" t="s">
        <v>61</v>
      </c>
      <c r="H69" s="29" t="s">
        <v>127</v>
      </c>
      <c r="I69" s="24"/>
      <c r="J69" s="24"/>
    </row>
    <row r="70" spans="1:10">
      <c r="A70" s="26">
        <v>368</v>
      </c>
      <c r="B70" s="27">
        <v>40555</v>
      </c>
      <c r="C70" s="28" t="s">
        <v>205</v>
      </c>
      <c r="D70" s="27">
        <v>40585</v>
      </c>
      <c r="E70" s="29">
        <v>1014758.55</v>
      </c>
      <c r="F70" s="29" t="s">
        <v>6</v>
      </c>
      <c r="G70" s="29" t="s">
        <v>61</v>
      </c>
      <c r="H70" s="29" t="s">
        <v>127</v>
      </c>
      <c r="I70" s="24"/>
      <c r="J70" s="24"/>
    </row>
    <row r="71" spans="1:10">
      <c r="A71" s="26">
        <v>369</v>
      </c>
      <c r="B71" s="27">
        <v>40560</v>
      </c>
      <c r="C71" s="28" t="s">
        <v>206</v>
      </c>
      <c r="D71" s="27">
        <v>40590</v>
      </c>
      <c r="E71" s="29">
        <v>1544165.11</v>
      </c>
      <c r="F71" s="29" t="s">
        <v>6</v>
      </c>
      <c r="G71" s="29" t="s">
        <v>61</v>
      </c>
      <c r="H71" s="29" t="s">
        <v>127</v>
      </c>
      <c r="I71" s="24"/>
      <c r="J71" s="24"/>
    </row>
    <row r="72" spans="1:10">
      <c r="A72" s="26">
        <v>371</v>
      </c>
      <c r="B72" s="27">
        <v>40569</v>
      </c>
      <c r="C72" s="28" t="s">
        <v>207</v>
      </c>
      <c r="D72" s="27">
        <v>40599</v>
      </c>
      <c r="E72" s="29">
        <v>721848.62</v>
      </c>
      <c r="F72" s="29" t="s">
        <v>6</v>
      </c>
      <c r="G72" s="29" t="s">
        <v>61</v>
      </c>
      <c r="H72" s="29" t="s">
        <v>127</v>
      </c>
      <c r="I72" s="24"/>
      <c r="J72" s="24"/>
    </row>
    <row r="73" spans="1:10">
      <c r="A73" s="26">
        <v>372</v>
      </c>
      <c r="B73" s="27">
        <v>40574</v>
      </c>
      <c r="C73" s="28" t="s">
        <v>135</v>
      </c>
      <c r="D73" s="27">
        <v>40576</v>
      </c>
      <c r="E73" s="29">
        <v>485352</v>
      </c>
      <c r="F73" s="29" t="s">
        <v>6</v>
      </c>
      <c r="G73" s="29" t="s">
        <v>61</v>
      </c>
      <c r="H73" s="29" t="s">
        <v>127</v>
      </c>
      <c r="I73" s="24"/>
      <c r="J73" s="24"/>
    </row>
    <row r="74" spans="1:10">
      <c r="A74" s="26">
        <v>373</v>
      </c>
      <c r="B74" s="27">
        <v>40578</v>
      </c>
      <c r="C74" s="28" t="s">
        <v>208</v>
      </c>
      <c r="D74" s="27">
        <v>40608</v>
      </c>
      <c r="E74" s="29">
        <v>477467.21</v>
      </c>
      <c r="F74" s="29" t="s">
        <v>6</v>
      </c>
      <c r="G74" s="29" t="s">
        <v>61</v>
      </c>
      <c r="H74" s="29" t="s">
        <v>127</v>
      </c>
      <c r="I74" s="24"/>
      <c r="J74" s="24"/>
    </row>
    <row r="75" spans="1:10">
      <c r="A75" s="26">
        <v>374</v>
      </c>
      <c r="B75" s="27">
        <v>40578</v>
      </c>
      <c r="C75" s="28" t="s">
        <v>209</v>
      </c>
      <c r="D75" s="27">
        <v>40608</v>
      </c>
      <c r="E75" s="29">
        <v>17987.77</v>
      </c>
      <c r="F75" s="29" t="s">
        <v>6</v>
      </c>
      <c r="G75" s="29" t="s">
        <v>61</v>
      </c>
      <c r="H75" s="29" t="s">
        <v>127</v>
      </c>
      <c r="I75" s="24"/>
      <c r="J75" s="24"/>
    </row>
    <row r="76" spans="1:10">
      <c r="A76" s="26">
        <v>375</v>
      </c>
      <c r="B76" s="27">
        <v>40578</v>
      </c>
      <c r="C76" s="28" t="s">
        <v>215</v>
      </c>
      <c r="D76" s="27">
        <v>40608</v>
      </c>
      <c r="E76" s="29">
        <v>11694.89</v>
      </c>
      <c r="F76" s="29" t="s">
        <v>6</v>
      </c>
      <c r="G76" s="29" t="s">
        <v>61</v>
      </c>
      <c r="H76" s="29" t="s">
        <v>127</v>
      </c>
      <c r="I76" s="24"/>
      <c r="J76" s="24"/>
    </row>
    <row r="77" spans="1:10">
      <c r="A77" s="26">
        <v>376</v>
      </c>
      <c r="B77" s="27">
        <v>40582</v>
      </c>
      <c r="C77" s="28" t="s">
        <v>144</v>
      </c>
      <c r="D77" s="27">
        <v>40612</v>
      </c>
      <c r="E77" s="29">
        <v>485352</v>
      </c>
      <c r="F77" s="29" t="s">
        <v>6</v>
      </c>
      <c r="G77" s="29" t="s">
        <v>61</v>
      </c>
      <c r="H77" s="29" t="s">
        <v>127</v>
      </c>
      <c r="I77" s="24"/>
      <c r="J77" s="24"/>
    </row>
    <row r="78" spans="1:10">
      <c r="A78" s="26">
        <v>377</v>
      </c>
      <c r="B78" s="27">
        <v>40585</v>
      </c>
      <c r="C78" s="28" t="s">
        <v>216</v>
      </c>
      <c r="D78" s="27">
        <v>40615</v>
      </c>
      <c r="E78" s="29">
        <v>7652.64</v>
      </c>
      <c r="F78" s="29" t="s">
        <v>6</v>
      </c>
      <c r="G78" s="29" t="s">
        <v>61</v>
      </c>
      <c r="H78" s="29" t="s">
        <v>127</v>
      </c>
      <c r="I78" s="24"/>
      <c r="J78" s="24"/>
    </row>
    <row r="79" spans="1:10">
      <c r="A79" s="26">
        <v>378</v>
      </c>
      <c r="B79" s="27">
        <v>40585</v>
      </c>
      <c r="C79" s="28" t="s">
        <v>210</v>
      </c>
      <c r="D79" s="27">
        <v>40615</v>
      </c>
      <c r="E79" s="29">
        <v>3070.9</v>
      </c>
      <c r="F79" s="29" t="s">
        <v>6</v>
      </c>
      <c r="G79" s="29" t="s">
        <v>61</v>
      </c>
      <c r="H79" s="29" t="s">
        <v>127</v>
      </c>
      <c r="I79" s="24"/>
      <c r="J79" s="24"/>
    </row>
    <row r="80" spans="1:10">
      <c r="A80" s="26">
        <v>379</v>
      </c>
      <c r="B80" s="27">
        <v>40589</v>
      </c>
      <c r="C80" s="28" t="s">
        <v>211</v>
      </c>
      <c r="D80" s="27">
        <v>40619</v>
      </c>
      <c r="E80" s="29">
        <v>57611.4</v>
      </c>
      <c r="F80" s="29" t="s">
        <v>6</v>
      </c>
      <c r="G80" s="29" t="s">
        <v>61</v>
      </c>
      <c r="H80" s="29" t="s">
        <v>127</v>
      </c>
      <c r="I80" s="24"/>
      <c r="J80" s="24"/>
    </row>
    <row r="81" spans="1:10">
      <c r="A81" s="26">
        <v>380</v>
      </c>
      <c r="B81" s="27">
        <v>40599</v>
      </c>
      <c r="C81" s="28" t="s">
        <v>212</v>
      </c>
      <c r="D81" s="27">
        <v>40629</v>
      </c>
      <c r="E81" s="29">
        <v>1498</v>
      </c>
      <c r="F81" s="29" t="s">
        <v>6</v>
      </c>
      <c r="G81" s="29" t="s">
        <v>61</v>
      </c>
      <c r="H81" s="29" t="s">
        <v>127</v>
      </c>
      <c r="I81" s="24"/>
      <c r="J81" s="24"/>
    </row>
    <row r="82" spans="1:10">
      <c r="A82" s="26">
        <v>381</v>
      </c>
      <c r="B82" s="27">
        <v>40602</v>
      </c>
      <c r="C82" s="28" t="s">
        <v>213</v>
      </c>
      <c r="D82" s="27">
        <v>40632</v>
      </c>
      <c r="E82" s="29">
        <v>485352</v>
      </c>
      <c r="F82" s="29" t="s">
        <v>6</v>
      </c>
      <c r="G82" s="29" t="s">
        <v>61</v>
      </c>
      <c r="H82" s="29" t="s">
        <v>127</v>
      </c>
      <c r="I82" s="24"/>
      <c r="J82" s="24"/>
    </row>
    <row r="83" spans="1:10">
      <c r="A83" s="26">
        <v>383</v>
      </c>
      <c r="B83" s="27">
        <v>40612</v>
      </c>
      <c r="C83" s="28" t="s">
        <v>214</v>
      </c>
      <c r="D83" s="27">
        <v>40642</v>
      </c>
      <c r="E83" s="29">
        <v>44117.21</v>
      </c>
      <c r="F83" s="29" t="s">
        <v>6</v>
      </c>
      <c r="G83" s="29" t="s">
        <v>61</v>
      </c>
      <c r="H83" s="29" t="s">
        <v>127</v>
      </c>
      <c r="I83" s="24"/>
      <c r="J83" s="24"/>
    </row>
    <row r="84" spans="1:10">
      <c r="A84" s="26">
        <v>466</v>
      </c>
      <c r="B84" s="27">
        <v>40777</v>
      </c>
      <c r="C84" s="28" t="s">
        <v>226</v>
      </c>
      <c r="D84" s="27">
        <v>40808</v>
      </c>
      <c r="E84" s="29">
        <v>64200</v>
      </c>
      <c r="F84" s="29" t="s">
        <v>6</v>
      </c>
      <c r="G84" s="29" t="s">
        <v>62</v>
      </c>
      <c r="H84" s="29" t="s">
        <v>127</v>
      </c>
      <c r="I84" s="24"/>
      <c r="J84" s="24"/>
    </row>
    <row r="85" spans="1:10">
      <c r="A85" s="26">
        <v>467</v>
      </c>
      <c r="B85" s="27">
        <v>40777</v>
      </c>
      <c r="C85" s="28" t="s">
        <v>227</v>
      </c>
      <c r="D85" s="27">
        <v>40807</v>
      </c>
      <c r="E85" s="29">
        <v>801010.56</v>
      </c>
      <c r="F85" s="29" t="s">
        <v>6</v>
      </c>
      <c r="G85" s="29" t="s">
        <v>62</v>
      </c>
      <c r="H85" s="29" t="s">
        <v>127</v>
      </c>
      <c r="I85" s="24"/>
      <c r="J85" s="24"/>
    </row>
    <row r="86" spans="1:10">
      <c r="A86" s="26">
        <v>468</v>
      </c>
      <c r="B86" s="27">
        <v>40777</v>
      </c>
      <c r="C86" s="28" t="s">
        <v>228</v>
      </c>
      <c r="D86" s="27">
        <v>40807</v>
      </c>
      <c r="E86" s="29">
        <v>801010.56</v>
      </c>
      <c r="F86" s="29" t="s">
        <v>6</v>
      </c>
      <c r="G86" s="29" t="s">
        <v>62</v>
      </c>
      <c r="H86" s="29" t="s">
        <v>127</v>
      </c>
      <c r="I86" s="24"/>
      <c r="J86" s="24"/>
    </row>
    <row r="87" spans="1:10">
      <c r="A87" s="26">
        <v>469</v>
      </c>
      <c r="B87" s="27">
        <v>40777</v>
      </c>
      <c r="C87" s="28" t="s">
        <v>229</v>
      </c>
      <c r="D87" s="27">
        <v>40808</v>
      </c>
      <c r="E87" s="29">
        <v>801010.56</v>
      </c>
      <c r="F87" s="29" t="s">
        <v>6</v>
      </c>
      <c r="G87" s="29" t="s">
        <v>62</v>
      </c>
      <c r="H87" s="29" t="s">
        <v>127</v>
      </c>
      <c r="I87" s="24"/>
      <c r="J87" s="24"/>
    </row>
    <row r="88" spans="1:10">
      <c r="A88" s="26">
        <v>470</v>
      </c>
      <c r="B88" s="27">
        <v>40778</v>
      </c>
      <c r="C88" s="28" t="s">
        <v>230</v>
      </c>
      <c r="D88" s="27">
        <v>40809</v>
      </c>
      <c r="E88" s="29">
        <v>128400</v>
      </c>
      <c r="F88" s="29" t="s">
        <v>6</v>
      </c>
      <c r="G88" s="29" t="s">
        <v>62</v>
      </c>
      <c r="H88" s="29" t="s">
        <v>127</v>
      </c>
      <c r="I88" s="24"/>
      <c r="J88" s="24"/>
    </row>
    <row r="89" spans="1:10">
      <c r="A89" s="26">
        <v>471</v>
      </c>
      <c r="B89" s="27">
        <v>40778</v>
      </c>
      <c r="C89" s="28" t="s">
        <v>231</v>
      </c>
      <c r="D89" s="27">
        <v>40808</v>
      </c>
      <c r="E89" s="29">
        <v>4591070.4000000004</v>
      </c>
      <c r="F89" s="29" t="s">
        <v>6</v>
      </c>
      <c r="G89" s="29" t="s">
        <v>62</v>
      </c>
      <c r="H89" s="29" t="s">
        <v>127</v>
      </c>
      <c r="I89" s="24"/>
      <c r="J89" s="24"/>
    </row>
    <row r="90" spans="1:10">
      <c r="A90" s="26">
        <v>472</v>
      </c>
      <c r="B90" s="27">
        <v>40785</v>
      </c>
      <c r="C90" s="28" t="s">
        <v>232</v>
      </c>
      <c r="D90" s="27">
        <v>40785</v>
      </c>
      <c r="E90" s="29">
        <v>64200</v>
      </c>
      <c r="F90" s="29" t="s">
        <v>6</v>
      </c>
      <c r="G90" s="29" t="s">
        <v>62</v>
      </c>
      <c r="H90" s="29" t="s">
        <v>127</v>
      </c>
      <c r="I90" s="24"/>
      <c r="J90" s="24"/>
    </row>
    <row r="91" spans="1:10">
      <c r="A91" s="26">
        <v>473</v>
      </c>
      <c r="B91" s="27">
        <v>40785</v>
      </c>
      <c r="C91" s="28" t="s">
        <v>233</v>
      </c>
      <c r="D91" s="27">
        <v>40815</v>
      </c>
      <c r="E91" s="29">
        <v>2280101.52</v>
      </c>
      <c r="F91" s="29" t="s">
        <v>6</v>
      </c>
      <c r="G91" s="29" t="s">
        <v>62</v>
      </c>
      <c r="H91" s="29" t="s">
        <v>127</v>
      </c>
      <c r="I91" s="24"/>
      <c r="J91" s="24"/>
    </row>
    <row r="92" spans="1:10">
      <c r="A92" s="26">
        <v>474</v>
      </c>
      <c r="B92" s="27">
        <v>40786</v>
      </c>
      <c r="C92" s="28" t="s">
        <v>234</v>
      </c>
      <c r="D92" s="27">
        <v>40786</v>
      </c>
      <c r="E92" s="29">
        <v>42800</v>
      </c>
      <c r="F92" s="29" t="s">
        <v>6</v>
      </c>
      <c r="G92" s="29" t="s">
        <v>62</v>
      </c>
      <c r="H92" s="29" t="s">
        <v>127</v>
      </c>
      <c r="I92" s="24"/>
      <c r="J92" s="24"/>
    </row>
    <row r="93" spans="1:10">
      <c r="A93" s="26">
        <v>475</v>
      </c>
      <c r="B93" s="27">
        <v>40786</v>
      </c>
      <c r="C93" s="28" t="s">
        <v>235</v>
      </c>
      <c r="D93" s="27">
        <v>40816</v>
      </c>
      <c r="E93" s="29">
        <v>1646242.08</v>
      </c>
      <c r="F93" s="29" t="s">
        <v>6</v>
      </c>
      <c r="G93" s="29" t="s">
        <v>62</v>
      </c>
      <c r="H93" s="29" t="s">
        <v>127</v>
      </c>
      <c r="I93" s="24"/>
      <c r="J93" s="24"/>
    </row>
    <row r="94" spans="1:10">
      <c r="A94" s="26">
        <v>476</v>
      </c>
      <c r="B94" s="27">
        <v>40786</v>
      </c>
      <c r="C94" s="28" t="s">
        <v>236</v>
      </c>
      <c r="D94" s="27">
        <v>40786</v>
      </c>
      <c r="E94" s="29">
        <v>21400</v>
      </c>
      <c r="F94" s="29" t="s">
        <v>6</v>
      </c>
      <c r="G94" s="29" t="s">
        <v>62</v>
      </c>
      <c r="H94" s="29" t="s">
        <v>127</v>
      </c>
      <c r="I94" s="24"/>
      <c r="J94" s="24"/>
    </row>
    <row r="95" spans="1:10">
      <c r="A95" s="26">
        <v>477</v>
      </c>
      <c r="B95" s="27">
        <v>40786</v>
      </c>
      <c r="C95" s="28" t="s">
        <v>237</v>
      </c>
      <c r="D95" s="27">
        <v>40816</v>
      </c>
      <c r="E95" s="29">
        <v>823121.04</v>
      </c>
      <c r="F95" s="29" t="s">
        <v>6</v>
      </c>
      <c r="G95" s="29" t="s">
        <v>62</v>
      </c>
      <c r="H95" s="29" t="s">
        <v>127</v>
      </c>
      <c r="I95" s="24"/>
      <c r="J95" s="24"/>
    </row>
    <row r="96" spans="1:10">
      <c r="A96" s="26">
        <v>478</v>
      </c>
      <c r="B96" s="27">
        <v>40791</v>
      </c>
      <c r="C96" s="28" t="s">
        <v>238</v>
      </c>
      <c r="D96" s="27">
        <v>40791</v>
      </c>
      <c r="E96" s="29">
        <v>64200</v>
      </c>
      <c r="F96" s="29" t="s">
        <v>6</v>
      </c>
      <c r="G96" s="29" t="s">
        <v>62</v>
      </c>
      <c r="H96" s="29" t="s">
        <v>127</v>
      </c>
      <c r="I96" s="24"/>
      <c r="J96" s="24"/>
    </row>
    <row r="97" spans="1:10">
      <c r="A97" s="26">
        <v>479</v>
      </c>
      <c r="B97" s="27">
        <v>40791</v>
      </c>
      <c r="C97" s="28" t="s">
        <v>239</v>
      </c>
      <c r="D97" s="27">
        <v>40821</v>
      </c>
      <c r="E97" s="29">
        <v>2544323.04</v>
      </c>
      <c r="F97" s="29" t="s">
        <v>6</v>
      </c>
      <c r="G97" s="29" t="s">
        <v>62</v>
      </c>
      <c r="H97" s="29" t="s">
        <v>127</v>
      </c>
      <c r="I97" s="24"/>
      <c r="J97" s="24"/>
    </row>
    <row r="98" spans="1:10">
      <c r="A98" s="26">
        <v>480</v>
      </c>
      <c r="B98" s="27">
        <v>40794</v>
      </c>
      <c r="C98" s="28" t="s">
        <v>240</v>
      </c>
      <c r="D98" s="27">
        <v>40794</v>
      </c>
      <c r="E98" s="29">
        <v>85600</v>
      </c>
      <c r="F98" s="29" t="s">
        <v>6</v>
      </c>
      <c r="G98" s="29" t="s">
        <v>62</v>
      </c>
      <c r="H98" s="29" t="s">
        <v>127</v>
      </c>
      <c r="I98" s="24"/>
      <c r="J98" s="24"/>
    </row>
    <row r="99" spans="1:10">
      <c r="A99" s="26">
        <v>481</v>
      </c>
      <c r="B99" s="27">
        <v>40794</v>
      </c>
      <c r="C99" s="28" t="s">
        <v>241</v>
      </c>
      <c r="D99" s="27">
        <v>40824</v>
      </c>
      <c r="E99" s="29">
        <v>3204042.24</v>
      </c>
      <c r="F99" s="29" t="s">
        <v>6</v>
      </c>
      <c r="G99" s="29" t="s">
        <v>62</v>
      </c>
      <c r="H99" s="29" t="s">
        <v>127</v>
      </c>
      <c r="I99" s="24"/>
      <c r="J99" s="24"/>
    </row>
    <row r="100" spans="1:10">
      <c r="A100" s="26">
        <v>482</v>
      </c>
      <c r="B100" s="27">
        <v>40799</v>
      </c>
      <c r="C100" s="28" t="s">
        <v>242</v>
      </c>
      <c r="D100" s="27">
        <v>40799</v>
      </c>
      <c r="E100" s="29">
        <v>21400</v>
      </c>
      <c r="F100" s="29" t="s">
        <v>6</v>
      </c>
      <c r="G100" s="29" t="s">
        <v>62</v>
      </c>
      <c r="H100" s="29" t="s">
        <v>127</v>
      </c>
      <c r="I100" s="24"/>
      <c r="J100" s="24"/>
    </row>
    <row r="101" spans="1:10">
      <c r="A101" s="26">
        <v>483</v>
      </c>
      <c r="B101" s="27">
        <v>40799</v>
      </c>
      <c r="C101" s="28" t="s">
        <v>243</v>
      </c>
      <c r="D101" s="27">
        <v>40799</v>
      </c>
      <c r="E101" s="29">
        <v>21400</v>
      </c>
      <c r="F101" s="29" t="s">
        <v>6</v>
      </c>
      <c r="G101" s="29" t="s">
        <v>62</v>
      </c>
      <c r="H101" s="29" t="s">
        <v>127</v>
      </c>
      <c r="I101" s="24"/>
      <c r="J101" s="24"/>
    </row>
    <row r="102" spans="1:10">
      <c r="A102" s="26">
        <v>484</v>
      </c>
      <c r="B102" s="27">
        <v>40808</v>
      </c>
      <c r="C102" s="28" t="s">
        <v>244</v>
      </c>
      <c r="D102" s="27">
        <v>40838</v>
      </c>
      <c r="E102" s="29">
        <v>128400</v>
      </c>
      <c r="F102" s="29" t="s">
        <v>6</v>
      </c>
      <c r="G102" s="29" t="s">
        <v>62</v>
      </c>
      <c r="H102" s="29" t="s">
        <v>127</v>
      </c>
      <c r="I102" s="24"/>
      <c r="J102" s="24"/>
    </row>
    <row r="103" spans="1:10">
      <c r="A103" s="26">
        <v>486</v>
      </c>
      <c r="B103" s="27">
        <v>40799</v>
      </c>
      <c r="C103" s="28" t="s">
        <v>245</v>
      </c>
      <c r="D103" s="27">
        <v>40829</v>
      </c>
      <c r="E103" s="29">
        <v>801010.56</v>
      </c>
      <c r="F103" s="29" t="s">
        <v>6</v>
      </c>
      <c r="G103" s="29" t="s">
        <v>62</v>
      </c>
      <c r="H103" s="29" t="s">
        <v>127</v>
      </c>
      <c r="I103" s="24"/>
      <c r="J103" s="24"/>
    </row>
    <row r="104" spans="1:10">
      <c r="A104" s="26">
        <v>487</v>
      </c>
      <c r="B104" s="27">
        <v>40799</v>
      </c>
      <c r="C104" s="28" t="s">
        <v>246</v>
      </c>
      <c r="D104" s="27">
        <v>40829</v>
      </c>
      <c r="E104" s="29">
        <v>552839.04</v>
      </c>
      <c r="F104" s="29" t="s">
        <v>6</v>
      </c>
      <c r="G104" s="29" t="s">
        <v>62</v>
      </c>
      <c r="H104" s="29" t="s">
        <v>127</v>
      </c>
      <c r="I104" s="24"/>
      <c r="J104" s="24"/>
    </row>
    <row r="105" spans="1:10">
      <c r="A105" s="26">
        <v>488</v>
      </c>
      <c r="B105" s="27">
        <v>40800</v>
      </c>
      <c r="C105" s="28" t="s">
        <v>247</v>
      </c>
      <c r="D105" s="27">
        <v>40830</v>
      </c>
      <c r="E105" s="29">
        <v>42800</v>
      </c>
      <c r="F105" s="29" t="s">
        <v>6</v>
      </c>
      <c r="G105" s="29" t="s">
        <v>62</v>
      </c>
      <c r="H105" s="29" t="s">
        <v>127</v>
      </c>
      <c r="I105" s="24"/>
      <c r="J105" s="24"/>
    </row>
    <row r="106" spans="1:10">
      <c r="A106" s="26">
        <v>489</v>
      </c>
      <c r="B106" s="27">
        <v>40807</v>
      </c>
      <c r="C106" s="28" t="s">
        <v>248</v>
      </c>
      <c r="D106" s="27">
        <v>40837</v>
      </c>
      <c r="E106" s="29">
        <v>801010.56</v>
      </c>
      <c r="F106" s="29" t="s">
        <v>6</v>
      </c>
      <c r="G106" s="29" t="s">
        <v>62</v>
      </c>
      <c r="H106" s="29" t="s">
        <v>127</v>
      </c>
      <c r="I106" s="24"/>
      <c r="J106" s="24"/>
    </row>
    <row r="107" spans="1:10">
      <c r="A107" s="26">
        <v>490</v>
      </c>
      <c r="B107" s="27">
        <v>40807</v>
      </c>
      <c r="C107" s="28" t="s">
        <v>249</v>
      </c>
      <c r="D107" s="27">
        <v>40837</v>
      </c>
      <c r="E107" s="29">
        <v>801010.56</v>
      </c>
      <c r="F107" s="29" t="s">
        <v>6</v>
      </c>
      <c r="G107" s="29" t="s">
        <v>62</v>
      </c>
      <c r="H107" s="29" t="s">
        <v>127</v>
      </c>
      <c r="I107" s="24"/>
      <c r="J107" s="24"/>
    </row>
    <row r="108" spans="1:10">
      <c r="A108" s="26">
        <v>491</v>
      </c>
      <c r="B108" s="27">
        <v>40807</v>
      </c>
      <c r="C108" s="28" t="s">
        <v>250</v>
      </c>
      <c r="D108" s="27">
        <v>40837</v>
      </c>
      <c r="E108" s="29">
        <v>552839.04</v>
      </c>
      <c r="F108" s="29" t="s">
        <v>6</v>
      </c>
      <c r="G108" s="29" t="s">
        <v>62</v>
      </c>
      <c r="H108" s="29" t="s">
        <v>127</v>
      </c>
      <c r="I108" s="24"/>
      <c r="J108" s="24"/>
    </row>
    <row r="109" spans="1:10">
      <c r="A109" s="26">
        <v>492</v>
      </c>
      <c r="B109" s="27">
        <v>40807</v>
      </c>
      <c r="C109" s="28" t="s">
        <v>251</v>
      </c>
      <c r="D109" s="27">
        <v>40837</v>
      </c>
      <c r="E109" s="29">
        <v>753553.92000000004</v>
      </c>
      <c r="F109" s="29" t="s">
        <v>6</v>
      </c>
      <c r="G109" s="29" t="s">
        <v>62</v>
      </c>
      <c r="H109" s="29" t="s">
        <v>127</v>
      </c>
      <c r="I109" s="24"/>
      <c r="J109" s="24"/>
    </row>
    <row r="110" spans="1:10">
      <c r="A110" s="26">
        <v>493</v>
      </c>
      <c r="B110" s="27">
        <v>40807</v>
      </c>
      <c r="C110" s="28" t="s">
        <v>252</v>
      </c>
      <c r="D110" s="27">
        <v>40837</v>
      </c>
      <c r="E110" s="29">
        <v>753553.92000000004</v>
      </c>
      <c r="F110" s="29" t="s">
        <v>6</v>
      </c>
      <c r="G110" s="29" t="s">
        <v>62</v>
      </c>
      <c r="H110" s="29" t="s">
        <v>127</v>
      </c>
      <c r="I110" s="24"/>
      <c r="J110" s="24"/>
    </row>
    <row r="111" spans="1:10">
      <c r="A111" s="26">
        <v>494</v>
      </c>
      <c r="B111" s="27">
        <v>40807</v>
      </c>
      <c r="C111" s="28" t="s">
        <v>253</v>
      </c>
      <c r="D111" s="27">
        <v>40837</v>
      </c>
      <c r="E111" s="29">
        <v>724201.68</v>
      </c>
      <c r="F111" s="29" t="s">
        <v>6</v>
      </c>
      <c r="G111" s="29" t="s">
        <v>62</v>
      </c>
      <c r="H111" s="29" t="s">
        <v>127</v>
      </c>
      <c r="I111" s="24"/>
      <c r="J111" s="24"/>
    </row>
    <row r="112" spans="1:10">
      <c r="A112" s="26">
        <v>495</v>
      </c>
      <c r="B112" s="27">
        <v>40807</v>
      </c>
      <c r="C112" s="28" t="s">
        <v>217</v>
      </c>
      <c r="D112" s="27">
        <v>40837</v>
      </c>
      <c r="E112" s="29">
        <v>91868.6</v>
      </c>
      <c r="F112" s="29" t="s">
        <v>6</v>
      </c>
      <c r="G112" s="29" t="s">
        <v>62</v>
      </c>
      <c r="H112" s="29" t="s">
        <v>127</v>
      </c>
      <c r="I112" s="24"/>
      <c r="J112" s="24"/>
    </row>
    <row r="113" spans="1:10">
      <c r="A113" s="26">
        <v>496</v>
      </c>
      <c r="B113" s="27">
        <v>40807</v>
      </c>
      <c r="C113" s="28" t="s">
        <v>218</v>
      </c>
      <c r="D113" s="27">
        <v>40837</v>
      </c>
      <c r="E113" s="29">
        <v>183737.19</v>
      </c>
      <c r="F113" s="29" t="s">
        <v>6</v>
      </c>
      <c r="G113" s="29" t="s">
        <v>62</v>
      </c>
      <c r="H113" s="29" t="s">
        <v>127</v>
      </c>
      <c r="I113" s="24"/>
      <c r="J113" s="24"/>
    </row>
    <row r="114" spans="1:10">
      <c r="A114" s="26">
        <v>497</v>
      </c>
      <c r="B114" s="27">
        <v>40816</v>
      </c>
      <c r="C114" s="28" t="s">
        <v>254</v>
      </c>
      <c r="D114" s="27">
        <v>40846</v>
      </c>
      <c r="E114" s="29">
        <v>85600</v>
      </c>
      <c r="F114" s="29" t="s">
        <v>6</v>
      </c>
      <c r="G114" s="29" t="s">
        <v>62</v>
      </c>
      <c r="H114" s="29" t="s">
        <v>127</v>
      </c>
      <c r="I114" s="24"/>
      <c r="J114" s="24"/>
    </row>
    <row r="115" spans="1:10">
      <c r="A115" s="26">
        <v>498</v>
      </c>
      <c r="B115" s="27">
        <v>40816</v>
      </c>
      <c r="C115" s="28" t="s">
        <v>255</v>
      </c>
      <c r="D115" s="27">
        <v>40846</v>
      </c>
      <c r="E115" s="29">
        <v>38111.26</v>
      </c>
      <c r="F115" s="29" t="s">
        <v>6</v>
      </c>
      <c r="G115" s="29" t="s">
        <v>62</v>
      </c>
      <c r="H115" s="29" t="s">
        <v>127</v>
      </c>
      <c r="I115" s="24"/>
      <c r="J115" s="24"/>
    </row>
    <row r="116" spans="1:10">
      <c r="A116" s="26">
        <v>499</v>
      </c>
      <c r="B116" s="27">
        <v>40816</v>
      </c>
      <c r="C116" s="28" t="s">
        <v>256</v>
      </c>
      <c r="D116" s="27">
        <v>40846</v>
      </c>
      <c r="E116" s="29">
        <v>749667.57</v>
      </c>
      <c r="F116" s="29" t="s">
        <v>6</v>
      </c>
      <c r="G116" s="29" t="s">
        <v>62</v>
      </c>
      <c r="H116" s="29" t="s">
        <v>127</v>
      </c>
      <c r="I116" s="24"/>
      <c r="J116" s="24"/>
    </row>
    <row r="117" spans="1:10">
      <c r="A117" s="26">
        <v>500</v>
      </c>
      <c r="B117" s="27">
        <v>40816</v>
      </c>
      <c r="C117" s="28" t="s">
        <v>257</v>
      </c>
      <c r="D117" s="27">
        <v>40846</v>
      </c>
      <c r="E117" s="29">
        <v>753553.92000000004</v>
      </c>
      <c r="F117" s="29" t="s">
        <v>6</v>
      </c>
      <c r="G117" s="29" t="s">
        <v>62</v>
      </c>
      <c r="H117" s="29" t="s">
        <v>127</v>
      </c>
      <c r="I117" s="24"/>
      <c r="J117" s="24"/>
    </row>
    <row r="118" spans="1:10">
      <c r="A118" s="26">
        <v>501</v>
      </c>
      <c r="B118" s="27">
        <v>40816</v>
      </c>
      <c r="C118" s="28" t="s">
        <v>258</v>
      </c>
      <c r="D118" s="27">
        <v>40846</v>
      </c>
      <c r="E118" s="29">
        <v>724792.31999999995</v>
      </c>
      <c r="F118" s="29" t="s">
        <v>6</v>
      </c>
      <c r="G118" s="29" t="s">
        <v>62</v>
      </c>
      <c r="H118" s="29" t="s">
        <v>127</v>
      </c>
      <c r="I118" s="24"/>
      <c r="J118" s="24"/>
    </row>
    <row r="119" spans="1:10">
      <c r="A119" s="26">
        <v>502</v>
      </c>
      <c r="B119" s="27">
        <v>40816</v>
      </c>
      <c r="C119" s="28" t="s">
        <v>259</v>
      </c>
      <c r="D119" s="27">
        <v>40846</v>
      </c>
      <c r="E119" s="29">
        <v>690098.64</v>
      </c>
      <c r="F119" s="29" t="s">
        <v>6</v>
      </c>
      <c r="G119" s="29" t="s">
        <v>62</v>
      </c>
      <c r="H119" s="29" t="s">
        <v>127</v>
      </c>
      <c r="I119" s="24"/>
      <c r="J119" s="24"/>
    </row>
    <row r="120" spans="1:10">
      <c r="A120" s="26">
        <v>503</v>
      </c>
      <c r="B120" s="27">
        <v>40816</v>
      </c>
      <c r="C120" s="28" t="s">
        <v>260</v>
      </c>
      <c r="D120" s="27">
        <v>40846</v>
      </c>
      <c r="E120" s="29">
        <v>586017.6</v>
      </c>
      <c r="F120" s="29" t="s">
        <v>6</v>
      </c>
      <c r="G120" s="29" t="s">
        <v>62</v>
      </c>
      <c r="H120" s="29" t="s">
        <v>127</v>
      </c>
      <c r="I120" s="24"/>
      <c r="J120" s="24"/>
    </row>
    <row r="121" spans="1:10">
      <c r="A121" s="26">
        <v>504</v>
      </c>
      <c r="B121" s="27">
        <v>40816</v>
      </c>
      <c r="C121" s="28" t="s">
        <v>261</v>
      </c>
      <c r="D121" s="27">
        <v>40846</v>
      </c>
      <c r="E121" s="29">
        <v>586017.6</v>
      </c>
      <c r="F121" s="29" t="s">
        <v>6</v>
      </c>
      <c r="G121" s="29" t="s">
        <v>62</v>
      </c>
      <c r="H121" s="29" t="s">
        <v>127</v>
      </c>
      <c r="I121" s="24"/>
      <c r="J121" s="24"/>
    </row>
    <row r="122" spans="1:10">
      <c r="A122" s="26">
        <v>505</v>
      </c>
      <c r="B122" s="27">
        <v>40827</v>
      </c>
      <c r="C122" s="28" t="s">
        <v>262</v>
      </c>
      <c r="D122" s="27">
        <v>40857</v>
      </c>
      <c r="E122" s="29">
        <v>42800</v>
      </c>
      <c r="F122" s="29" t="s">
        <v>6</v>
      </c>
      <c r="G122" s="29" t="s">
        <v>62</v>
      </c>
      <c r="H122" s="29" t="s">
        <v>127</v>
      </c>
      <c r="I122" s="24"/>
      <c r="J122" s="24"/>
    </row>
    <row r="123" spans="1:10">
      <c r="A123" s="26">
        <v>506</v>
      </c>
      <c r="B123" s="27">
        <v>40827</v>
      </c>
      <c r="C123" s="28" t="s">
        <v>263</v>
      </c>
      <c r="D123" s="27">
        <v>40857</v>
      </c>
      <c r="E123" s="29">
        <v>758766.96</v>
      </c>
      <c r="F123" s="29" t="s">
        <v>6</v>
      </c>
      <c r="G123" s="29" t="s">
        <v>62</v>
      </c>
      <c r="H123" s="29" t="s">
        <v>127</v>
      </c>
      <c r="I123" s="24"/>
      <c r="J123" s="24"/>
    </row>
    <row r="124" spans="1:10">
      <c r="A124" s="26">
        <v>507</v>
      </c>
      <c r="B124" s="27">
        <v>40827</v>
      </c>
      <c r="C124" s="28" t="s">
        <v>264</v>
      </c>
      <c r="D124" s="27">
        <v>40857</v>
      </c>
      <c r="E124" s="29">
        <v>758766.96</v>
      </c>
      <c r="F124" s="29" t="s">
        <v>6</v>
      </c>
      <c r="G124" s="29" t="s">
        <v>62</v>
      </c>
      <c r="H124" s="29" t="s">
        <v>127</v>
      </c>
      <c r="I124" s="24"/>
      <c r="J124" s="24"/>
    </row>
    <row r="125" spans="1:10">
      <c r="A125" s="26">
        <v>508</v>
      </c>
      <c r="B125" s="27">
        <v>40830</v>
      </c>
      <c r="C125" s="28" t="s">
        <v>265</v>
      </c>
      <c r="D125" s="27">
        <v>40860</v>
      </c>
      <c r="E125" s="29">
        <v>171200</v>
      </c>
      <c r="F125" s="29" t="s">
        <v>6</v>
      </c>
      <c r="G125" s="29" t="s">
        <v>62</v>
      </c>
      <c r="H125" s="29" t="s">
        <v>127</v>
      </c>
      <c r="I125" s="24"/>
      <c r="J125" s="24"/>
    </row>
    <row r="126" spans="1:10">
      <c r="A126" s="26">
        <v>509</v>
      </c>
      <c r="B126" s="27">
        <v>40830</v>
      </c>
      <c r="C126" s="28" t="s">
        <v>266</v>
      </c>
      <c r="D126" s="27">
        <v>40860</v>
      </c>
      <c r="E126" s="29">
        <v>758766.96</v>
      </c>
      <c r="F126" s="29" t="s">
        <v>6</v>
      </c>
      <c r="G126" s="29" t="s">
        <v>62</v>
      </c>
      <c r="H126" s="29" t="s">
        <v>127</v>
      </c>
      <c r="I126" s="24"/>
      <c r="J126" s="24"/>
    </row>
    <row r="127" spans="1:10">
      <c r="A127" s="26">
        <v>510</v>
      </c>
      <c r="B127" s="27">
        <v>40830</v>
      </c>
      <c r="C127" s="28" t="s">
        <v>267</v>
      </c>
      <c r="D127" s="27">
        <v>40860</v>
      </c>
      <c r="E127" s="29">
        <v>758766.96</v>
      </c>
      <c r="F127" s="29" t="s">
        <v>6</v>
      </c>
      <c r="G127" s="29" t="s">
        <v>62</v>
      </c>
      <c r="H127" s="29" t="s">
        <v>127</v>
      </c>
      <c r="I127" s="24"/>
      <c r="J127" s="24"/>
    </row>
    <row r="128" spans="1:10">
      <c r="A128" s="26">
        <v>511</v>
      </c>
      <c r="B128" s="27">
        <v>40830</v>
      </c>
      <c r="C128" s="28" t="s">
        <v>268</v>
      </c>
      <c r="D128" s="27">
        <v>40860</v>
      </c>
      <c r="E128" s="29">
        <v>680751.12</v>
      </c>
      <c r="F128" s="29" t="s">
        <v>6</v>
      </c>
      <c r="G128" s="29" t="s">
        <v>62</v>
      </c>
      <c r="H128" s="29" t="s">
        <v>127</v>
      </c>
      <c r="I128" s="24"/>
      <c r="J128" s="24"/>
    </row>
    <row r="129" spans="1:10">
      <c r="A129" s="26">
        <v>512</v>
      </c>
      <c r="B129" s="27">
        <v>40830</v>
      </c>
      <c r="C129" s="28" t="s">
        <v>269</v>
      </c>
      <c r="D129" s="27">
        <v>40860</v>
      </c>
      <c r="E129" s="29">
        <v>729376.2</v>
      </c>
      <c r="F129" s="29" t="s">
        <v>6</v>
      </c>
      <c r="G129" s="29" t="s">
        <v>62</v>
      </c>
      <c r="H129" s="29" t="s">
        <v>127</v>
      </c>
      <c r="I129" s="24"/>
      <c r="J129" s="24"/>
    </row>
    <row r="130" spans="1:10">
      <c r="A130" s="26">
        <v>513</v>
      </c>
      <c r="B130" s="27">
        <v>40830</v>
      </c>
      <c r="C130" s="28" t="s">
        <v>270</v>
      </c>
      <c r="D130" s="27">
        <v>40860</v>
      </c>
      <c r="E130" s="29">
        <v>729376.2</v>
      </c>
      <c r="F130" s="29" t="s">
        <v>6</v>
      </c>
      <c r="G130" s="29" t="s">
        <v>62</v>
      </c>
      <c r="H130" s="29" t="s">
        <v>127</v>
      </c>
      <c r="I130" s="24"/>
      <c r="J130" s="24"/>
    </row>
    <row r="131" spans="1:10">
      <c r="A131" s="26">
        <v>514</v>
      </c>
      <c r="B131" s="27">
        <v>40830</v>
      </c>
      <c r="C131" s="28" t="s">
        <v>271</v>
      </c>
      <c r="D131" s="27">
        <v>40860</v>
      </c>
      <c r="E131" s="29">
        <v>729376.2</v>
      </c>
      <c r="F131" s="29" t="s">
        <v>6</v>
      </c>
      <c r="G131" s="29" t="s">
        <v>62</v>
      </c>
      <c r="H131" s="29" t="s">
        <v>127</v>
      </c>
      <c r="I131" s="24"/>
      <c r="J131" s="24"/>
    </row>
    <row r="132" spans="1:10">
      <c r="A132" s="26">
        <v>515</v>
      </c>
      <c r="B132" s="27">
        <v>40830</v>
      </c>
      <c r="C132" s="28" t="s">
        <v>272</v>
      </c>
      <c r="D132" s="27">
        <v>40860</v>
      </c>
      <c r="E132" s="29">
        <v>729376.2</v>
      </c>
      <c r="F132" s="29" t="s">
        <v>6</v>
      </c>
      <c r="G132" s="29" t="s">
        <v>62</v>
      </c>
      <c r="H132" s="29" t="s">
        <v>127</v>
      </c>
      <c r="I132" s="24"/>
      <c r="J132" s="24"/>
    </row>
    <row r="133" spans="1:10">
      <c r="A133" s="26">
        <v>516</v>
      </c>
      <c r="B133" s="27">
        <v>40830</v>
      </c>
      <c r="C133" s="28" t="s">
        <v>273</v>
      </c>
      <c r="D133" s="27">
        <v>40860</v>
      </c>
      <c r="E133" s="29">
        <v>729376.2</v>
      </c>
      <c r="F133" s="29" t="s">
        <v>6</v>
      </c>
      <c r="G133" s="29" t="s">
        <v>62</v>
      </c>
      <c r="H133" s="29" t="s">
        <v>127</v>
      </c>
      <c r="I133" s="24"/>
      <c r="J133" s="24"/>
    </row>
    <row r="134" spans="1:10">
      <c r="A134" s="26">
        <v>517</v>
      </c>
      <c r="B134" s="27">
        <v>40834</v>
      </c>
      <c r="C134" s="28" t="s">
        <v>274</v>
      </c>
      <c r="D134" s="27">
        <v>40864</v>
      </c>
      <c r="E134" s="29">
        <v>128400</v>
      </c>
      <c r="F134" s="29" t="s">
        <v>6</v>
      </c>
      <c r="G134" s="29" t="s">
        <v>62</v>
      </c>
      <c r="H134" s="29" t="s">
        <v>127</v>
      </c>
      <c r="I134" s="24"/>
      <c r="J134" s="24"/>
    </row>
    <row r="135" spans="1:10">
      <c r="A135" s="26">
        <v>518</v>
      </c>
      <c r="B135" s="27">
        <v>40834</v>
      </c>
      <c r="C135" s="28" t="s">
        <v>275</v>
      </c>
      <c r="D135" s="27">
        <v>40864</v>
      </c>
      <c r="E135" s="29">
        <v>758766.96</v>
      </c>
      <c r="F135" s="29" t="s">
        <v>6</v>
      </c>
      <c r="G135" s="29" t="s">
        <v>62</v>
      </c>
      <c r="H135" s="29" t="s">
        <v>127</v>
      </c>
      <c r="I135" s="24"/>
      <c r="J135" s="24"/>
    </row>
    <row r="136" spans="1:10">
      <c r="A136" s="26">
        <v>519</v>
      </c>
      <c r="B136" s="27">
        <v>40834</v>
      </c>
      <c r="C136" s="28" t="s">
        <v>276</v>
      </c>
      <c r="D136" s="27">
        <v>40864</v>
      </c>
      <c r="E136" s="29">
        <v>582615</v>
      </c>
      <c r="F136" s="29" t="s">
        <v>6</v>
      </c>
      <c r="G136" s="29" t="s">
        <v>62</v>
      </c>
      <c r="H136" s="29" t="s">
        <v>127</v>
      </c>
      <c r="I136" s="24"/>
      <c r="J136" s="24"/>
    </row>
    <row r="137" spans="1:10">
      <c r="A137" s="26">
        <v>520</v>
      </c>
      <c r="B137" s="27">
        <v>40834</v>
      </c>
      <c r="C137" s="28" t="s">
        <v>277</v>
      </c>
      <c r="D137" s="27">
        <v>40864</v>
      </c>
      <c r="E137" s="29">
        <v>582615</v>
      </c>
      <c r="F137" s="29" t="s">
        <v>6</v>
      </c>
      <c r="G137" s="29" t="s">
        <v>62</v>
      </c>
      <c r="H137" s="29" t="s">
        <v>127</v>
      </c>
      <c r="I137" s="24"/>
      <c r="J137" s="24"/>
    </row>
    <row r="138" spans="1:10">
      <c r="A138" s="26">
        <v>521</v>
      </c>
      <c r="B138" s="27">
        <v>40834</v>
      </c>
      <c r="C138" s="28" t="s">
        <v>278</v>
      </c>
      <c r="D138" s="27">
        <v>40864</v>
      </c>
      <c r="E138" s="29">
        <v>582615</v>
      </c>
      <c r="F138" s="29" t="s">
        <v>6</v>
      </c>
      <c r="G138" s="29" t="s">
        <v>62</v>
      </c>
      <c r="H138" s="29" t="s">
        <v>127</v>
      </c>
      <c r="I138" s="24"/>
      <c r="J138" s="24"/>
    </row>
    <row r="139" spans="1:10">
      <c r="A139" s="26">
        <v>522</v>
      </c>
      <c r="B139" s="27">
        <v>40834</v>
      </c>
      <c r="C139" s="28" t="s">
        <v>279</v>
      </c>
      <c r="D139" s="27">
        <v>40864</v>
      </c>
      <c r="E139" s="29">
        <v>729376.2</v>
      </c>
      <c r="F139" s="29" t="s">
        <v>6</v>
      </c>
      <c r="G139" s="29" t="s">
        <v>62</v>
      </c>
      <c r="H139" s="29" t="s">
        <v>127</v>
      </c>
      <c r="I139" s="24"/>
      <c r="J139" s="24"/>
    </row>
    <row r="140" spans="1:10">
      <c r="A140" s="26">
        <v>523</v>
      </c>
      <c r="B140" s="27">
        <v>40834</v>
      </c>
      <c r="C140" s="28" t="s">
        <v>280</v>
      </c>
      <c r="D140" s="27">
        <v>40864</v>
      </c>
      <c r="E140" s="29">
        <v>582615</v>
      </c>
      <c r="F140" s="29" t="s">
        <v>6</v>
      </c>
      <c r="G140" s="29" t="s">
        <v>62</v>
      </c>
      <c r="H140" s="29" t="s">
        <v>127</v>
      </c>
      <c r="I140" s="24"/>
      <c r="J140" s="24"/>
    </row>
    <row r="141" spans="1:10">
      <c r="A141" s="26">
        <v>524</v>
      </c>
      <c r="B141" s="27">
        <v>40840</v>
      </c>
      <c r="C141" s="28" t="s">
        <v>281</v>
      </c>
      <c r="D141" s="27">
        <v>40870</v>
      </c>
      <c r="E141" s="29">
        <v>149800</v>
      </c>
      <c r="F141" s="29" t="s">
        <v>6</v>
      </c>
      <c r="G141" s="29" t="s">
        <v>62</v>
      </c>
      <c r="H141" s="29" t="s">
        <v>127</v>
      </c>
      <c r="I141" s="24"/>
      <c r="J141" s="24"/>
    </row>
    <row r="142" spans="1:10">
      <c r="A142" s="26">
        <v>525</v>
      </c>
      <c r="B142" s="27">
        <v>40840</v>
      </c>
      <c r="C142" s="28" t="s">
        <v>282</v>
      </c>
      <c r="D142" s="27">
        <v>40870</v>
      </c>
      <c r="E142" s="29">
        <v>582615</v>
      </c>
      <c r="F142" s="29" t="s">
        <v>6</v>
      </c>
      <c r="G142" s="29" t="s">
        <v>62</v>
      </c>
      <c r="H142" s="29" t="s">
        <v>127</v>
      </c>
      <c r="I142" s="24"/>
      <c r="J142" s="24"/>
    </row>
    <row r="143" spans="1:10">
      <c r="A143" s="26">
        <v>526</v>
      </c>
      <c r="B143" s="27">
        <v>40840</v>
      </c>
      <c r="C143" s="28" t="s">
        <v>283</v>
      </c>
      <c r="D143" s="27">
        <v>40870</v>
      </c>
      <c r="E143" s="29">
        <v>627221.16</v>
      </c>
      <c r="F143" s="29" t="s">
        <v>6</v>
      </c>
      <c r="G143" s="29" t="s">
        <v>62</v>
      </c>
      <c r="H143" s="29" t="s">
        <v>127</v>
      </c>
      <c r="I143" s="24"/>
      <c r="J143" s="24"/>
    </row>
    <row r="144" spans="1:10">
      <c r="A144" s="26">
        <v>527</v>
      </c>
      <c r="B144" s="27">
        <v>40840</v>
      </c>
      <c r="C144" s="28" t="s">
        <v>284</v>
      </c>
      <c r="D144" s="27">
        <v>40870</v>
      </c>
      <c r="E144" s="29">
        <v>729376.2</v>
      </c>
      <c r="F144" s="29" t="s">
        <v>6</v>
      </c>
      <c r="G144" s="29" t="s">
        <v>62</v>
      </c>
      <c r="H144" s="29" t="s">
        <v>127</v>
      </c>
      <c r="I144" s="24"/>
      <c r="J144" s="24"/>
    </row>
    <row r="145" spans="1:10">
      <c r="A145" s="26">
        <v>528</v>
      </c>
      <c r="B145" s="27">
        <v>40840</v>
      </c>
      <c r="C145" s="28" t="s">
        <v>285</v>
      </c>
      <c r="D145" s="27">
        <v>40870</v>
      </c>
      <c r="E145" s="29">
        <v>582615</v>
      </c>
      <c r="F145" s="29" t="s">
        <v>6</v>
      </c>
      <c r="G145" s="29" t="s">
        <v>62</v>
      </c>
      <c r="H145" s="29" t="s">
        <v>127</v>
      </c>
      <c r="I145" s="24"/>
      <c r="J145" s="24"/>
    </row>
    <row r="146" spans="1:10">
      <c r="A146" s="26">
        <v>529</v>
      </c>
      <c r="B146" s="27">
        <v>40840</v>
      </c>
      <c r="C146" s="28" t="s">
        <v>286</v>
      </c>
      <c r="D146" s="27">
        <v>40870</v>
      </c>
      <c r="E146" s="29">
        <v>582615</v>
      </c>
      <c r="F146" s="29" t="s">
        <v>6</v>
      </c>
      <c r="G146" s="29" t="s">
        <v>62</v>
      </c>
      <c r="H146" s="29" t="s">
        <v>127</v>
      </c>
      <c r="I146" s="24"/>
      <c r="J146" s="24"/>
    </row>
    <row r="147" spans="1:10">
      <c r="A147" s="26">
        <v>530</v>
      </c>
      <c r="B147" s="27">
        <v>40840</v>
      </c>
      <c r="C147" s="28" t="s">
        <v>287</v>
      </c>
      <c r="D147" s="27">
        <v>40870</v>
      </c>
      <c r="E147" s="29">
        <v>736258.44</v>
      </c>
      <c r="F147" s="29" t="s">
        <v>6</v>
      </c>
      <c r="G147" s="29" t="s">
        <v>62</v>
      </c>
      <c r="H147" s="29" t="s">
        <v>127</v>
      </c>
      <c r="I147" s="24"/>
      <c r="J147" s="24"/>
    </row>
    <row r="148" spans="1:10">
      <c r="A148" s="26">
        <v>531</v>
      </c>
      <c r="B148" s="27">
        <v>40840</v>
      </c>
      <c r="C148" s="28" t="s">
        <v>219</v>
      </c>
      <c r="D148" s="27">
        <v>40870</v>
      </c>
      <c r="E148" s="29">
        <v>746170.92</v>
      </c>
      <c r="F148" s="29" t="s">
        <v>6</v>
      </c>
      <c r="G148" s="29" t="s">
        <v>62</v>
      </c>
      <c r="H148" s="29" t="s">
        <v>127</v>
      </c>
      <c r="I148" s="24"/>
      <c r="J148" s="24"/>
    </row>
    <row r="149" spans="1:10">
      <c r="A149" s="26">
        <v>532</v>
      </c>
      <c r="B149" s="27">
        <v>40844</v>
      </c>
      <c r="C149" s="28" t="s">
        <v>288</v>
      </c>
      <c r="D149" s="27">
        <v>40874</v>
      </c>
      <c r="E149" s="29">
        <v>42800</v>
      </c>
      <c r="F149" s="29" t="s">
        <v>6</v>
      </c>
      <c r="G149" s="29" t="s">
        <v>62</v>
      </c>
      <c r="H149" s="29" t="s">
        <v>127</v>
      </c>
      <c r="I149" s="24"/>
      <c r="J149" s="24"/>
    </row>
    <row r="150" spans="1:10">
      <c r="A150" s="26">
        <v>533</v>
      </c>
      <c r="B150" s="27">
        <v>40844</v>
      </c>
      <c r="C150" s="28" t="s">
        <v>289</v>
      </c>
      <c r="D150" s="27">
        <v>40874</v>
      </c>
      <c r="E150" s="29">
        <v>786424.31999999995</v>
      </c>
      <c r="F150" s="29" t="s">
        <v>6</v>
      </c>
      <c r="G150" s="29" t="s">
        <v>62</v>
      </c>
      <c r="H150" s="29" t="s">
        <v>127</v>
      </c>
      <c r="I150" s="24"/>
      <c r="J150" s="24"/>
    </row>
    <row r="151" spans="1:10">
      <c r="A151" s="26">
        <v>534</v>
      </c>
      <c r="B151" s="27">
        <v>40844</v>
      </c>
      <c r="C151" s="28" t="s">
        <v>290</v>
      </c>
      <c r="D151" s="27">
        <v>40874</v>
      </c>
      <c r="E151" s="29">
        <v>729376.2</v>
      </c>
      <c r="F151" s="29" t="s">
        <v>6</v>
      </c>
      <c r="G151" s="29" t="s">
        <v>62</v>
      </c>
      <c r="H151" s="29" t="s">
        <v>127</v>
      </c>
      <c r="I151" s="24"/>
      <c r="J151" s="24"/>
    </row>
    <row r="152" spans="1:10">
      <c r="A152" s="26">
        <v>535</v>
      </c>
      <c r="B152" s="27">
        <v>40850</v>
      </c>
      <c r="C152" s="28" t="s">
        <v>291</v>
      </c>
      <c r="D152" s="27">
        <v>40880</v>
      </c>
      <c r="E152" s="29">
        <v>42800</v>
      </c>
      <c r="F152" s="29" t="s">
        <v>6</v>
      </c>
      <c r="G152" s="29" t="s">
        <v>62</v>
      </c>
      <c r="H152" s="29" t="s">
        <v>127</v>
      </c>
      <c r="I152" s="24"/>
      <c r="J152" s="24"/>
    </row>
    <row r="153" spans="1:10">
      <c r="A153" s="26">
        <v>536</v>
      </c>
      <c r="B153" s="27">
        <v>40850</v>
      </c>
      <c r="C153" s="28" t="s">
        <v>292</v>
      </c>
      <c r="D153" s="27">
        <v>40880</v>
      </c>
      <c r="E153" s="29">
        <v>582615</v>
      </c>
      <c r="F153" s="29" t="s">
        <v>6</v>
      </c>
      <c r="G153" s="29" t="s">
        <v>62</v>
      </c>
      <c r="H153" s="29" t="s">
        <v>127</v>
      </c>
      <c r="I153" s="24"/>
      <c r="J153" s="24"/>
    </row>
    <row r="154" spans="1:10">
      <c r="A154" s="26">
        <v>537</v>
      </c>
      <c r="B154" s="27">
        <v>40850</v>
      </c>
      <c r="C154" s="28" t="s">
        <v>293</v>
      </c>
      <c r="D154" s="27">
        <v>40880</v>
      </c>
      <c r="E154" s="29">
        <v>670055.4</v>
      </c>
      <c r="F154" s="29" t="s">
        <v>6</v>
      </c>
      <c r="G154" s="29" t="s">
        <v>62</v>
      </c>
      <c r="H154" s="29" t="s">
        <v>127</v>
      </c>
      <c r="I154" s="24"/>
      <c r="J154" s="24"/>
    </row>
    <row r="155" spans="1:10">
      <c r="A155" s="26">
        <v>538</v>
      </c>
      <c r="B155" s="27">
        <v>40535</v>
      </c>
      <c r="C155" s="28" t="s">
        <v>294</v>
      </c>
      <c r="D155" s="27">
        <v>40566</v>
      </c>
      <c r="E155" s="29">
        <v>34762.160000000003</v>
      </c>
      <c r="F155" s="29" t="s">
        <v>6</v>
      </c>
      <c r="G155" s="29" t="s">
        <v>115</v>
      </c>
      <c r="H155" s="29" t="s">
        <v>127</v>
      </c>
      <c r="I155" s="24"/>
      <c r="J155" s="24"/>
    </row>
    <row r="156" spans="1:10">
      <c r="A156" s="26">
        <v>539</v>
      </c>
      <c r="B156" s="27">
        <v>40586</v>
      </c>
      <c r="C156" s="28">
        <v>1110489</v>
      </c>
      <c r="D156" s="27" t="s">
        <v>225</v>
      </c>
      <c r="E156" s="29">
        <v>47666.36</v>
      </c>
      <c r="F156" s="29" t="s">
        <v>6</v>
      </c>
      <c r="G156" s="29" t="s">
        <v>115</v>
      </c>
      <c r="H156" s="29" t="s">
        <v>127</v>
      </c>
      <c r="I156" s="24"/>
      <c r="J156" s="24"/>
    </row>
    <row r="157" spans="1:10">
      <c r="A157" s="26">
        <v>541</v>
      </c>
      <c r="B157" s="27">
        <v>40609</v>
      </c>
      <c r="C157" s="28">
        <v>1110829</v>
      </c>
      <c r="D157" s="27" t="s">
        <v>225</v>
      </c>
      <c r="E157" s="29">
        <v>51282.16</v>
      </c>
      <c r="F157" s="29" t="s">
        <v>6</v>
      </c>
      <c r="G157" s="29" t="s">
        <v>115</v>
      </c>
      <c r="H157" s="29" t="s">
        <v>127</v>
      </c>
      <c r="I157" s="24"/>
      <c r="J157" s="24"/>
    </row>
    <row r="158" spans="1:10">
      <c r="A158" s="26">
        <v>584</v>
      </c>
      <c r="B158" s="27">
        <v>40634</v>
      </c>
      <c r="C158" s="28">
        <v>1111189</v>
      </c>
      <c r="D158" s="27" t="s">
        <v>225</v>
      </c>
      <c r="E158" s="29">
        <v>716163.84</v>
      </c>
      <c r="F158" s="29" t="s">
        <v>7</v>
      </c>
      <c r="G158" s="29" t="s">
        <v>61</v>
      </c>
      <c r="H158" s="29" t="s">
        <v>127</v>
      </c>
      <c r="I158" s="24"/>
      <c r="J158" s="24"/>
    </row>
    <row r="159" spans="1:10">
      <c r="A159" s="26">
        <v>585</v>
      </c>
      <c r="B159" s="27">
        <v>40634</v>
      </c>
      <c r="C159" s="28">
        <v>1111190</v>
      </c>
      <c r="D159" s="27" t="s">
        <v>225</v>
      </c>
      <c r="E159" s="29">
        <v>581883.12</v>
      </c>
      <c r="F159" s="29" t="s">
        <v>7</v>
      </c>
      <c r="G159" s="29" t="s">
        <v>61</v>
      </c>
      <c r="H159" s="29" t="s">
        <v>127</v>
      </c>
      <c r="I159" s="24"/>
      <c r="J159" s="24"/>
    </row>
    <row r="160" spans="1:10">
      <c r="A160" s="26">
        <v>587</v>
      </c>
      <c r="B160" s="27">
        <v>40634</v>
      </c>
      <c r="C160" s="28">
        <v>1111191</v>
      </c>
      <c r="D160" s="27" t="s">
        <v>225</v>
      </c>
      <c r="E160" s="29">
        <v>47119.59</v>
      </c>
      <c r="F160" s="29" t="s">
        <v>7</v>
      </c>
      <c r="G160" s="29" t="s">
        <v>61</v>
      </c>
      <c r="H160" s="29" t="s">
        <v>127</v>
      </c>
      <c r="I160" s="24"/>
      <c r="J160" s="24"/>
    </row>
    <row r="161" spans="1:10">
      <c r="A161" s="26">
        <v>588</v>
      </c>
      <c r="B161" s="27">
        <v>40638</v>
      </c>
      <c r="C161" s="28">
        <v>111236</v>
      </c>
      <c r="D161" s="27" t="s">
        <v>225</v>
      </c>
      <c r="E161" s="29">
        <v>716163.84</v>
      </c>
      <c r="F161" s="29" t="s">
        <v>7</v>
      </c>
      <c r="G161" s="29" t="s">
        <v>61</v>
      </c>
      <c r="H161" s="29" t="s">
        <v>127</v>
      </c>
      <c r="I161" s="24"/>
      <c r="J161" s="24"/>
    </row>
    <row r="162" spans="1:10">
      <c r="A162" s="26">
        <v>589</v>
      </c>
      <c r="B162" s="27">
        <v>40639</v>
      </c>
      <c r="C162" s="28">
        <v>1111260</v>
      </c>
      <c r="D162" s="27" t="s">
        <v>225</v>
      </c>
      <c r="E162" s="29">
        <v>44760.24</v>
      </c>
      <c r="F162" s="29" t="s">
        <v>7</v>
      </c>
      <c r="G162" s="29" t="s">
        <v>61</v>
      </c>
      <c r="H162" s="29" t="s">
        <v>127</v>
      </c>
      <c r="I162" s="24"/>
      <c r="J162" s="24"/>
    </row>
    <row r="163" spans="1:10">
      <c r="A163" s="26">
        <v>590</v>
      </c>
      <c r="B163" s="27">
        <v>40639</v>
      </c>
      <c r="C163" s="28">
        <v>1111257</v>
      </c>
      <c r="D163" s="27" t="s">
        <v>225</v>
      </c>
      <c r="E163" s="29">
        <v>335522.03999999998</v>
      </c>
      <c r="F163" s="29" t="s">
        <v>7</v>
      </c>
      <c r="G163" s="29" t="s">
        <v>61</v>
      </c>
      <c r="H163" s="29" t="s">
        <v>127</v>
      </c>
      <c r="I163" s="24"/>
      <c r="J163" s="24"/>
    </row>
    <row r="164" spans="1:10">
      <c r="A164" s="26">
        <v>591</v>
      </c>
      <c r="B164" s="27">
        <v>40639</v>
      </c>
      <c r="C164" s="28">
        <v>1111258</v>
      </c>
      <c r="D164" s="27" t="s">
        <v>225</v>
      </c>
      <c r="E164" s="29">
        <v>32102.14</v>
      </c>
      <c r="F164" s="29" t="s">
        <v>7</v>
      </c>
      <c r="G164" s="29" t="s">
        <v>61</v>
      </c>
      <c r="H164" s="29" t="s">
        <v>127</v>
      </c>
      <c r="I164" s="24"/>
      <c r="J164" s="24"/>
    </row>
    <row r="165" spans="1:10">
      <c r="A165" s="26">
        <v>592</v>
      </c>
      <c r="B165" s="27">
        <v>40639</v>
      </c>
      <c r="C165" s="28">
        <v>1111259</v>
      </c>
      <c r="D165" s="27" t="s">
        <v>225</v>
      </c>
      <c r="E165" s="29">
        <v>179445.42</v>
      </c>
      <c r="F165" s="29" t="s">
        <v>7</v>
      </c>
      <c r="G165" s="29" t="s">
        <v>61</v>
      </c>
      <c r="H165" s="29" t="s">
        <v>127</v>
      </c>
      <c r="I165" s="24"/>
      <c r="J165" s="24"/>
    </row>
    <row r="166" spans="1:10">
      <c r="A166" s="26">
        <v>594</v>
      </c>
      <c r="B166" s="27">
        <v>40679</v>
      </c>
      <c r="C166" s="28">
        <v>1111685</v>
      </c>
      <c r="D166" s="27" t="s">
        <v>225</v>
      </c>
      <c r="E166" s="29">
        <v>675560.55</v>
      </c>
      <c r="F166" s="29" t="s">
        <v>7</v>
      </c>
      <c r="G166" s="29" t="s">
        <v>61</v>
      </c>
      <c r="H166" s="29" t="s">
        <v>127</v>
      </c>
      <c r="I166" s="24"/>
      <c r="J166" s="24"/>
    </row>
    <row r="167" spans="1:10">
      <c r="A167" s="26">
        <v>596</v>
      </c>
      <c r="B167" s="27">
        <v>40683</v>
      </c>
      <c r="C167" s="28">
        <v>1111781</v>
      </c>
      <c r="D167" s="27" t="s">
        <v>225</v>
      </c>
      <c r="E167" s="29">
        <v>61298.16</v>
      </c>
      <c r="F167" s="29" t="s">
        <v>7</v>
      </c>
      <c r="G167" s="29" t="s">
        <v>61</v>
      </c>
      <c r="H167" s="29" t="s">
        <v>127</v>
      </c>
      <c r="I167" s="24"/>
      <c r="J167" s="24"/>
    </row>
    <row r="168" spans="1:10">
      <c r="A168" s="26">
        <v>597</v>
      </c>
      <c r="B168" s="27">
        <v>40774</v>
      </c>
      <c r="C168" s="28">
        <v>1112825</v>
      </c>
      <c r="D168" s="27" t="s">
        <v>225</v>
      </c>
      <c r="E168" s="29">
        <v>364014</v>
      </c>
      <c r="F168" s="29" t="s">
        <v>7</v>
      </c>
      <c r="G168" s="29" t="s">
        <v>61</v>
      </c>
      <c r="H168" s="29" t="s">
        <v>127</v>
      </c>
      <c r="I168" s="24"/>
      <c r="J168" s="24"/>
    </row>
    <row r="169" spans="1:10">
      <c r="A169" s="26">
        <v>598</v>
      </c>
      <c r="B169" s="27">
        <v>40898</v>
      </c>
      <c r="C169" s="28">
        <v>1113632</v>
      </c>
      <c r="D169" s="27" t="s">
        <v>225</v>
      </c>
      <c r="E169" s="29">
        <v>9013.68</v>
      </c>
      <c r="F169" s="29" t="s">
        <v>7</v>
      </c>
      <c r="G169" s="29" t="s">
        <v>61</v>
      </c>
      <c r="H169" s="29" t="s">
        <v>127</v>
      </c>
      <c r="I169" s="24"/>
      <c r="J169" s="24"/>
    </row>
    <row r="170" spans="1:10">
      <c r="A170" s="26">
        <v>599</v>
      </c>
      <c r="B170" s="27">
        <v>40462</v>
      </c>
      <c r="C170" s="28">
        <v>1103152</v>
      </c>
      <c r="D170" s="27" t="s">
        <v>225</v>
      </c>
      <c r="E170" s="29">
        <v>472447.8</v>
      </c>
      <c r="F170" s="29" t="s">
        <v>7</v>
      </c>
      <c r="G170" s="29" t="s">
        <v>64</v>
      </c>
      <c r="H170" s="29" t="s">
        <v>127</v>
      </c>
      <c r="I170" s="24"/>
      <c r="J170" s="24"/>
    </row>
    <row r="171" spans="1:10">
      <c r="A171" s="26">
        <v>600</v>
      </c>
      <c r="B171" s="27">
        <v>40462</v>
      </c>
      <c r="C171" s="28">
        <v>1103153</v>
      </c>
      <c r="D171" s="27" t="s">
        <v>225</v>
      </c>
      <c r="E171" s="29">
        <v>472447.8</v>
      </c>
      <c r="F171" s="29" t="s">
        <v>7</v>
      </c>
      <c r="G171" s="29" t="s">
        <v>64</v>
      </c>
      <c r="H171" s="29" t="s">
        <v>127</v>
      </c>
      <c r="I171" s="24"/>
      <c r="J171" s="24"/>
    </row>
    <row r="172" spans="1:10">
      <c r="A172" s="26">
        <v>601</v>
      </c>
      <c r="B172" s="27">
        <v>40463</v>
      </c>
      <c r="C172" s="28">
        <v>1103160</v>
      </c>
      <c r="D172" s="27" t="s">
        <v>225</v>
      </c>
      <c r="E172" s="29">
        <v>472447.8</v>
      </c>
      <c r="F172" s="29" t="s">
        <v>7</v>
      </c>
      <c r="G172" s="29" t="s">
        <v>64</v>
      </c>
      <c r="H172" s="29" t="s">
        <v>127</v>
      </c>
      <c r="I172" s="24"/>
      <c r="J172" s="24"/>
    </row>
    <row r="173" spans="1:10">
      <c r="A173" s="26">
        <v>602</v>
      </c>
      <c r="B173" s="27">
        <v>40463</v>
      </c>
      <c r="C173" s="28">
        <v>1103161</v>
      </c>
      <c r="D173" s="27" t="s">
        <v>225</v>
      </c>
      <c r="E173" s="29">
        <v>472447.8</v>
      </c>
      <c r="F173" s="29" t="s">
        <v>7</v>
      </c>
      <c r="G173" s="29" t="s">
        <v>64</v>
      </c>
      <c r="H173" s="29" t="s">
        <v>127</v>
      </c>
      <c r="I173" s="24"/>
      <c r="J173" s="24"/>
    </row>
    <row r="174" spans="1:10">
      <c r="A174" s="26">
        <v>603</v>
      </c>
      <c r="B174" s="27">
        <v>40464</v>
      </c>
      <c r="C174" s="28">
        <v>1103168</v>
      </c>
      <c r="D174" s="27" t="s">
        <v>225</v>
      </c>
      <c r="E174" s="29">
        <v>472447.8</v>
      </c>
      <c r="F174" s="29" t="s">
        <v>7</v>
      </c>
      <c r="G174" s="29" t="s">
        <v>64</v>
      </c>
      <c r="H174" s="29" t="s">
        <v>127</v>
      </c>
      <c r="I174" s="24"/>
      <c r="J174" s="24"/>
    </row>
    <row r="175" spans="1:10">
      <c r="A175" s="26">
        <v>604</v>
      </c>
      <c r="B175" s="27">
        <v>40464</v>
      </c>
      <c r="C175" s="28">
        <v>1103169</v>
      </c>
      <c r="D175" s="27" t="s">
        <v>225</v>
      </c>
      <c r="E175" s="29">
        <v>472447.8</v>
      </c>
      <c r="F175" s="29" t="s">
        <v>7</v>
      </c>
      <c r="G175" s="29" t="s">
        <v>64</v>
      </c>
      <c r="H175" s="29" t="s">
        <v>127</v>
      </c>
      <c r="I175" s="24"/>
      <c r="J175" s="24"/>
    </row>
    <row r="176" spans="1:10">
      <c r="A176" s="26">
        <v>605</v>
      </c>
      <c r="B176" s="27">
        <v>40465</v>
      </c>
      <c r="C176" s="28">
        <v>1103174</v>
      </c>
      <c r="D176" s="27" t="s">
        <v>225</v>
      </c>
      <c r="E176" s="29">
        <v>558347.4</v>
      </c>
      <c r="F176" s="29" t="s">
        <v>7</v>
      </c>
      <c r="G176" s="29" t="s">
        <v>64</v>
      </c>
      <c r="H176" s="29" t="s">
        <v>127</v>
      </c>
      <c r="I176" s="24"/>
      <c r="J176" s="24"/>
    </row>
    <row r="177" spans="1:10">
      <c r="A177" s="26">
        <v>606</v>
      </c>
      <c r="B177" s="27">
        <v>40465</v>
      </c>
      <c r="C177" s="28">
        <v>1103175</v>
      </c>
      <c r="D177" s="27" t="s">
        <v>225</v>
      </c>
      <c r="E177" s="29">
        <v>558347.4</v>
      </c>
      <c r="F177" s="29" t="s">
        <v>7</v>
      </c>
      <c r="G177" s="29" t="s">
        <v>64</v>
      </c>
      <c r="H177" s="29" t="s">
        <v>127</v>
      </c>
      <c r="I177" s="24"/>
      <c r="J177" s="24"/>
    </row>
    <row r="178" spans="1:10">
      <c r="A178" s="26">
        <v>607</v>
      </c>
      <c r="B178" s="27">
        <v>40466</v>
      </c>
      <c r="C178" s="28">
        <v>1103181</v>
      </c>
      <c r="D178" s="27" t="s">
        <v>225</v>
      </c>
      <c r="E178" s="29">
        <v>558347.4</v>
      </c>
      <c r="F178" s="29" t="s">
        <v>7</v>
      </c>
      <c r="G178" s="29" t="s">
        <v>64</v>
      </c>
      <c r="H178" s="29" t="s">
        <v>127</v>
      </c>
      <c r="I178" s="24"/>
      <c r="J178" s="24"/>
    </row>
    <row r="179" spans="1:10">
      <c r="A179" s="26">
        <v>608</v>
      </c>
      <c r="B179" s="27">
        <v>40466</v>
      </c>
      <c r="C179" s="28">
        <v>1103182</v>
      </c>
      <c r="D179" s="27" t="s">
        <v>225</v>
      </c>
      <c r="E179" s="29">
        <v>558347.4</v>
      </c>
      <c r="F179" s="29" t="s">
        <v>7</v>
      </c>
      <c r="G179" s="29" t="s">
        <v>64</v>
      </c>
      <c r="H179" s="29" t="s">
        <v>127</v>
      </c>
      <c r="I179" s="24"/>
      <c r="J179" s="24"/>
    </row>
    <row r="180" spans="1:10">
      <c r="A180" s="26">
        <v>609</v>
      </c>
      <c r="B180" s="27">
        <v>40467</v>
      </c>
      <c r="C180" s="28">
        <v>1103188</v>
      </c>
      <c r="D180" s="27" t="s">
        <v>225</v>
      </c>
      <c r="E180" s="29">
        <v>558347.4</v>
      </c>
      <c r="F180" s="29" t="s">
        <v>7</v>
      </c>
      <c r="G180" s="29" t="s">
        <v>64</v>
      </c>
      <c r="H180" s="29" t="s">
        <v>127</v>
      </c>
      <c r="I180" s="24"/>
      <c r="J180" s="24"/>
    </row>
    <row r="181" spans="1:10">
      <c r="A181" s="26">
        <v>610</v>
      </c>
      <c r="B181" s="27">
        <v>40467</v>
      </c>
      <c r="C181" s="28">
        <v>1103189</v>
      </c>
      <c r="D181" s="27" t="s">
        <v>225</v>
      </c>
      <c r="E181" s="29">
        <v>558347.4</v>
      </c>
      <c r="F181" s="29" t="s">
        <v>7</v>
      </c>
      <c r="G181" s="29" t="s">
        <v>64</v>
      </c>
      <c r="H181" s="29" t="s">
        <v>127</v>
      </c>
      <c r="I181" s="24"/>
      <c r="J181" s="24"/>
    </row>
    <row r="182" spans="1:10">
      <c r="A182" s="26">
        <v>611</v>
      </c>
      <c r="B182" s="27">
        <v>40469</v>
      </c>
      <c r="C182" s="28">
        <v>1103199</v>
      </c>
      <c r="D182" s="27" t="s">
        <v>225</v>
      </c>
      <c r="E182" s="29">
        <v>558347.4</v>
      </c>
      <c r="F182" s="29" t="s">
        <v>7</v>
      </c>
      <c r="G182" s="29" t="s">
        <v>64</v>
      </c>
      <c r="H182" s="29" t="s">
        <v>127</v>
      </c>
      <c r="I182" s="24"/>
      <c r="J182" s="24"/>
    </row>
    <row r="183" spans="1:10">
      <c r="A183" s="26">
        <v>612</v>
      </c>
      <c r="B183" s="27">
        <v>40469</v>
      </c>
      <c r="C183" s="28">
        <v>1103200</v>
      </c>
      <c r="D183" s="27" t="s">
        <v>225</v>
      </c>
      <c r="E183" s="29">
        <v>558347.4</v>
      </c>
      <c r="F183" s="29" t="s">
        <v>7</v>
      </c>
      <c r="G183" s="29" t="s">
        <v>64</v>
      </c>
      <c r="H183" s="29" t="s">
        <v>127</v>
      </c>
      <c r="I183" s="24"/>
      <c r="J183" s="24"/>
    </row>
    <row r="184" spans="1:10">
      <c r="A184" s="26">
        <v>613</v>
      </c>
      <c r="B184" s="27">
        <v>40470</v>
      </c>
      <c r="C184" s="28">
        <v>1103207</v>
      </c>
      <c r="D184" s="27" t="s">
        <v>225</v>
      </c>
      <c r="E184" s="29">
        <v>558347.4</v>
      </c>
      <c r="F184" s="29" t="s">
        <v>7</v>
      </c>
      <c r="G184" s="29" t="s">
        <v>64</v>
      </c>
      <c r="H184" s="29" t="s">
        <v>127</v>
      </c>
      <c r="I184" s="24"/>
      <c r="J184" s="24"/>
    </row>
    <row r="185" spans="1:10">
      <c r="A185" s="26">
        <v>614</v>
      </c>
      <c r="B185" s="27">
        <v>40470</v>
      </c>
      <c r="C185" s="28">
        <v>1103208</v>
      </c>
      <c r="D185" s="27" t="s">
        <v>225</v>
      </c>
      <c r="E185" s="29">
        <v>558347.4</v>
      </c>
      <c r="F185" s="29" t="s">
        <v>7</v>
      </c>
      <c r="G185" s="29" t="s">
        <v>64</v>
      </c>
      <c r="H185" s="29" t="s">
        <v>127</v>
      </c>
      <c r="I185" s="24"/>
      <c r="J185" s="24"/>
    </row>
    <row r="186" spans="1:10">
      <c r="A186" s="26">
        <v>615</v>
      </c>
      <c r="B186" s="27">
        <v>40471</v>
      </c>
      <c r="C186" s="28">
        <v>1103214</v>
      </c>
      <c r="D186" s="27" t="s">
        <v>225</v>
      </c>
      <c r="E186" s="29">
        <v>558347.4</v>
      </c>
      <c r="F186" s="29" t="s">
        <v>7</v>
      </c>
      <c r="G186" s="29" t="s">
        <v>64</v>
      </c>
      <c r="H186" s="29" t="s">
        <v>127</v>
      </c>
      <c r="I186" s="24"/>
      <c r="J186" s="24"/>
    </row>
    <row r="187" spans="1:10">
      <c r="A187" s="26">
        <v>616</v>
      </c>
      <c r="B187" s="27">
        <v>40471</v>
      </c>
      <c r="C187" s="28">
        <v>1103215</v>
      </c>
      <c r="D187" s="27" t="s">
        <v>225</v>
      </c>
      <c r="E187" s="29">
        <v>558347.4</v>
      </c>
      <c r="F187" s="29" t="s">
        <v>7</v>
      </c>
      <c r="G187" s="29" t="s">
        <v>64</v>
      </c>
      <c r="H187" s="29" t="s">
        <v>127</v>
      </c>
      <c r="I187" s="24"/>
      <c r="J187" s="24"/>
    </row>
    <row r="188" spans="1:10">
      <c r="A188" s="26">
        <v>617</v>
      </c>
      <c r="B188" s="27">
        <v>40472</v>
      </c>
      <c r="C188" s="28">
        <v>1103219</v>
      </c>
      <c r="D188" s="27" t="s">
        <v>225</v>
      </c>
      <c r="E188" s="29">
        <v>558347.4</v>
      </c>
      <c r="F188" s="29" t="s">
        <v>7</v>
      </c>
      <c r="G188" s="29" t="s">
        <v>64</v>
      </c>
      <c r="H188" s="29" t="s">
        <v>127</v>
      </c>
      <c r="I188" s="24"/>
      <c r="J188" s="24"/>
    </row>
    <row r="189" spans="1:10">
      <c r="A189" s="26">
        <v>618</v>
      </c>
      <c r="B189" s="27">
        <v>40484</v>
      </c>
      <c r="C189" s="28">
        <v>1103290</v>
      </c>
      <c r="D189" s="27" t="s">
        <v>225</v>
      </c>
      <c r="E189" s="29">
        <v>67571.3</v>
      </c>
      <c r="F189" s="29" t="s">
        <v>7</v>
      </c>
      <c r="G189" s="29" t="s">
        <v>64</v>
      </c>
      <c r="H189" s="29" t="s">
        <v>127</v>
      </c>
      <c r="I189" s="24"/>
      <c r="J189" s="24"/>
    </row>
    <row r="190" spans="1:10">
      <c r="A190" s="26">
        <v>619</v>
      </c>
      <c r="B190" s="27">
        <v>40498</v>
      </c>
      <c r="C190" s="28">
        <v>1103346</v>
      </c>
      <c r="D190" s="27" t="s">
        <v>225</v>
      </c>
      <c r="E190" s="29">
        <v>558347.4</v>
      </c>
      <c r="F190" s="29" t="s">
        <v>7</v>
      </c>
      <c r="G190" s="29" t="s">
        <v>64</v>
      </c>
      <c r="H190" s="29" t="s">
        <v>127</v>
      </c>
      <c r="I190" s="24"/>
      <c r="J190" s="24"/>
    </row>
    <row r="191" spans="1:10">
      <c r="A191" s="26">
        <v>620</v>
      </c>
      <c r="B191" s="27">
        <v>40498</v>
      </c>
      <c r="C191" s="28">
        <v>1103347</v>
      </c>
      <c r="D191" s="27" t="s">
        <v>225</v>
      </c>
      <c r="E191" s="29">
        <v>558347.4</v>
      </c>
      <c r="F191" s="29" t="s">
        <v>7</v>
      </c>
      <c r="G191" s="29" t="s">
        <v>64</v>
      </c>
      <c r="H191" s="29" t="s">
        <v>127</v>
      </c>
      <c r="I191" s="24"/>
      <c r="J191" s="24"/>
    </row>
    <row r="192" spans="1:10">
      <c r="A192" s="26">
        <v>621</v>
      </c>
      <c r="B192" s="27">
        <v>40498</v>
      </c>
      <c r="C192" s="28">
        <v>1103348</v>
      </c>
      <c r="D192" s="27" t="s">
        <v>225</v>
      </c>
      <c r="E192" s="29">
        <v>343598.4</v>
      </c>
      <c r="F192" s="29" t="s">
        <v>7</v>
      </c>
      <c r="G192" s="29" t="s">
        <v>64</v>
      </c>
      <c r="H192" s="29" t="s">
        <v>127</v>
      </c>
      <c r="I192" s="24"/>
      <c r="J192" s="24"/>
    </row>
    <row r="193" spans="1:10">
      <c r="A193" s="26">
        <v>622</v>
      </c>
      <c r="B193" s="27">
        <v>40498</v>
      </c>
      <c r="C193" s="28">
        <v>1103349</v>
      </c>
      <c r="D193" s="27" t="s">
        <v>225</v>
      </c>
      <c r="E193" s="29">
        <v>558347.4</v>
      </c>
      <c r="F193" s="29" t="s">
        <v>7</v>
      </c>
      <c r="G193" s="29" t="s">
        <v>64</v>
      </c>
      <c r="H193" s="29" t="s">
        <v>127</v>
      </c>
      <c r="I193" s="24"/>
      <c r="J193" s="24"/>
    </row>
    <row r="194" spans="1:10">
      <c r="A194" s="26">
        <v>623</v>
      </c>
      <c r="B194" s="27">
        <v>40498</v>
      </c>
      <c r="C194" s="28">
        <v>1103350</v>
      </c>
      <c r="D194" s="27" t="s">
        <v>225</v>
      </c>
      <c r="E194" s="29">
        <v>204477</v>
      </c>
      <c r="F194" s="29" t="s">
        <v>7</v>
      </c>
      <c r="G194" s="29" t="s">
        <v>64</v>
      </c>
      <c r="H194" s="29" t="s">
        <v>127</v>
      </c>
      <c r="I194" s="24"/>
      <c r="J194" s="24"/>
    </row>
    <row r="195" spans="1:10">
      <c r="A195" s="26">
        <v>624</v>
      </c>
      <c r="B195" s="27">
        <v>40500</v>
      </c>
      <c r="C195" s="28">
        <v>1103360</v>
      </c>
      <c r="D195" s="27" t="s">
        <v>225</v>
      </c>
      <c r="E195" s="29">
        <v>214749</v>
      </c>
      <c r="F195" s="29" t="s">
        <v>7</v>
      </c>
      <c r="G195" s="29" t="s">
        <v>64</v>
      </c>
      <c r="H195" s="29" t="s">
        <v>127</v>
      </c>
      <c r="I195" s="24"/>
      <c r="J195" s="24"/>
    </row>
    <row r="196" spans="1:10">
      <c r="A196" s="26">
        <v>625</v>
      </c>
      <c r="B196" s="27">
        <v>40500</v>
      </c>
      <c r="C196" s="28">
        <v>1103361</v>
      </c>
      <c r="D196" s="27" t="s">
        <v>225</v>
      </c>
      <c r="E196" s="29">
        <v>343598.4</v>
      </c>
      <c r="F196" s="29" t="s">
        <v>7</v>
      </c>
      <c r="G196" s="29" t="s">
        <v>64</v>
      </c>
      <c r="H196" s="29" t="s">
        <v>127</v>
      </c>
      <c r="I196" s="24"/>
      <c r="J196" s="24"/>
    </row>
    <row r="197" spans="1:10">
      <c r="A197" s="26">
        <v>626</v>
      </c>
      <c r="B197" s="27">
        <v>40502</v>
      </c>
      <c r="C197" s="28">
        <v>1103375</v>
      </c>
      <c r="D197" s="27" t="s">
        <v>225</v>
      </c>
      <c r="E197" s="29">
        <v>558347.4</v>
      </c>
      <c r="F197" s="29" t="s">
        <v>7</v>
      </c>
      <c r="G197" s="29" t="s">
        <v>64</v>
      </c>
      <c r="H197" s="29" t="s">
        <v>127</v>
      </c>
      <c r="I197" s="24"/>
      <c r="J197" s="24"/>
    </row>
    <row r="198" spans="1:10">
      <c r="A198" s="26">
        <v>627</v>
      </c>
      <c r="B198" s="27">
        <v>40502</v>
      </c>
      <c r="C198" s="28">
        <v>1103376</v>
      </c>
      <c r="D198" s="27" t="s">
        <v>225</v>
      </c>
      <c r="E198" s="29">
        <v>558347.4</v>
      </c>
      <c r="F198" s="29" t="s">
        <v>7</v>
      </c>
      <c r="G198" s="29" t="s">
        <v>64</v>
      </c>
      <c r="H198" s="29" t="s">
        <v>127</v>
      </c>
      <c r="I198" s="24"/>
      <c r="J198" s="24"/>
    </row>
    <row r="199" spans="1:10">
      <c r="A199" s="26">
        <v>628</v>
      </c>
      <c r="B199" s="27">
        <v>40504</v>
      </c>
      <c r="C199" s="28">
        <v>1103381</v>
      </c>
      <c r="D199" s="27" t="s">
        <v>225</v>
      </c>
      <c r="E199" s="29">
        <v>558347.4</v>
      </c>
      <c r="F199" s="29" t="s">
        <v>7</v>
      </c>
      <c r="G199" s="29" t="s">
        <v>64</v>
      </c>
      <c r="H199" s="29" t="s">
        <v>127</v>
      </c>
      <c r="I199" s="24"/>
      <c r="J199" s="24"/>
    </row>
    <row r="200" spans="1:10">
      <c r="A200" s="26">
        <v>630</v>
      </c>
      <c r="B200" s="27">
        <v>40505</v>
      </c>
      <c r="C200" s="28">
        <v>1103384</v>
      </c>
      <c r="D200" s="27" t="s">
        <v>225</v>
      </c>
      <c r="E200" s="29">
        <v>63826.04</v>
      </c>
      <c r="F200" s="29" t="s">
        <v>7</v>
      </c>
      <c r="G200" s="29" t="s">
        <v>64</v>
      </c>
      <c r="H200" s="29" t="s">
        <v>127</v>
      </c>
      <c r="I200" s="24"/>
      <c r="J200" s="24"/>
    </row>
    <row r="201" spans="1:10">
      <c r="A201" s="26">
        <v>646</v>
      </c>
      <c r="B201" s="27">
        <v>40525</v>
      </c>
      <c r="C201" s="28">
        <v>1103478</v>
      </c>
      <c r="D201" s="27" t="s">
        <v>225</v>
      </c>
      <c r="E201" s="29">
        <v>558347.4</v>
      </c>
      <c r="F201" s="29" t="s">
        <v>7</v>
      </c>
      <c r="G201" s="29" t="s">
        <v>64</v>
      </c>
      <c r="H201" s="29" t="s">
        <v>127</v>
      </c>
      <c r="I201" s="24"/>
      <c r="J201" s="24"/>
    </row>
    <row r="202" spans="1:10">
      <c r="A202" s="26">
        <v>647</v>
      </c>
      <c r="B202" s="27">
        <v>40526</v>
      </c>
      <c r="C202" s="28">
        <v>1103482</v>
      </c>
      <c r="D202" s="27" t="s">
        <v>225</v>
      </c>
      <c r="E202" s="29">
        <v>558347.4</v>
      </c>
      <c r="F202" s="29" t="s">
        <v>7</v>
      </c>
      <c r="G202" s="29" t="s">
        <v>64</v>
      </c>
      <c r="H202" s="29" t="s">
        <v>127</v>
      </c>
      <c r="I202" s="24"/>
      <c r="J202" s="24"/>
    </row>
    <row r="203" spans="1:10">
      <c r="A203" s="26">
        <v>648</v>
      </c>
      <c r="B203" s="27">
        <v>40534</v>
      </c>
      <c r="C203" s="28">
        <v>1103514</v>
      </c>
      <c r="D203" s="27" t="s">
        <v>225</v>
      </c>
      <c r="E203" s="29">
        <v>558347.4</v>
      </c>
      <c r="F203" s="29" t="s">
        <v>7</v>
      </c>
      <c r="G203" s="29" t="s">
        <v>64</v>
      </c>
      <c r="H203" s="29" t="s">
        <v>127</v>
      </c>
      <c r="I203" s="24"/>
      <c r="J203" s="24"/>
    </row>
    <row r="204" spans="1:10">
      <c r="A204" s="26">
        <v>649</v>
      </c>
      <c r="B204" s="27">
        <v>40535</v>
      </c>
      <c r="C204" s="28">
        <v>1103521</v>
      </c>
      <c r="D204" s="27" t="s">
        <v>225</v>
      </c>
      <c r="E204" s="29">
        <v>429498</v>
      </c>
      <c r="F204" s="29" t="s">
        <v>7</v>
      </c>
      <c r="G204" s="29" t="s">
        <v>64</v>
      </c>
      <c r="H204" s="29" t="s">
        <v>127</v>
      </c>
      <c r="I204" s="24"/>
      <c r="J204" s="24"/>
    </row>
    <row r="205" spans="1:10">
      <c r="A205" s="26">
        <v>650</v>
      </c>
      <c r="B205" s="27">
        <v>40561</v>
      </c>
      <c r="C205" s="28">
        <v>1110106</v>
      </c>
      <c r="D205" s="27" t="s">
        <v>225</v>
      </c>
      <c r="E205" s="29">
        <v>1024888.8</v>
      </c>
      <c r="F205" s="29" t="s">
        <v>7</v>
      </c>
      <c r="G205" s="29" t="s">
        <v>64</v>
      </c>
      <c r="H205" s="29" t="s">
        <v>127</v>
      </c>
      <c r="I205" s="24"/>
      <c r="J205" s="24"/>
    </row>
    <row r="206" spans="1:10">
      <c r="A206" s="26">
        <v>652</v>
      </c>
      <c r="B206" s="27">
        <v>40563</v>
      </c>
      <c r="C206" s="28">
        <v>1110129</v>
      </c>
      <c r="D206" s="27" t="s">
        <v>225</v>
      </c>
      <c r="E206" s="29">
        <v>867213.6</v>
      </c>
      <c r="F206" s="29" t="s">
        <v>7</v>
      </c>
      <c r="G206" s="29" t="s">
        <v>64</v>
      </c>
      <c r="H206" s="29" t="s">
        <v>127</v>
      </c>
      <c r="I206" s="24"/>
      <c r="J206" s="24"/>
    </row>
    <row r="207" spans="1:10">
      <c r="A207" s="26">
        <v>653</v>
      </c>
      <c r="B207" s="27">
        <v>40564</v>
      </c>
      <c r="C207" s="28">
        <v>1110144</v>
      </c>
      <c r="D207" s="27" t="s">
        <v>225</v>
      </c>
      <c r="E207" s="29">
        <v>315350.40000000002</v>
      </c>
      <c r="F207" s="29" t="s">
        <v>7</v>
      </c>
      <c r="G207" s="29" t="s">
        <v>64</v>
      </c>
      <c r="H207" s="29" t="s">
        <v>127</v>
      </c>
      <c r="I207" s="24"/>
      <c r="J207" s="24"/>
    </row>
    <row r="208" spans="1:10">
      <c r="A208" s="26">
        <v>654</v>
      </c>
      <c r="B208" s="27">
        <v>40564</v>
      </c>
      <c r="C208" s="28">
        <v>1110145</v>
      </c>
      <c r="D208" s="27" t="s">
        <v>225</v>
      </c>
      <c r="E208" s="29">
        <v>386548.2</v>
      </c>
      <c r="F208" s="29" t="s">
        <v>7</v>
      </c>
      <c r="G208" s="29" t="s">
        <v>64</v>
      </c>
      <c r="H208" s="29" t="s">
        <v>127</v>
      </c>
      <c r="I208" s="24"/>
      <c r="J208" s="24"/>
    </row>
    <row r="209" spans="1:10">
      <c r="A209" s="26">
        <v>655</v>
      </c>
      <c r="B209" s="27">
        <v>40588</v>
      </c>
      <c r="C209" s="28">
        <v>1110507</v>
      </c>
      <c r="D209" s="27" t="s">
        <v>225</v>
      </c>
      <c r="E209" s="29">
        <v>558347.4</v>
      </c>
      <c r="F209" s="29" t="s">
        <v>7</v>
      </c>
      <c r="G209" s="29" t="s">
        <v>64</v>
      </c>
      <c r="H209" s="29" t="s">
        <v>127</v>
      </c>
      <c r="I209" s="24"/>
      <c r="J209" s="24"/>
    </row>
    <row r="210" spans="1:10">
      <c r="A210" s="26">
        <v>656</v>
      </c>
      <c r="B210" s="27">
        <v>40588</v>
      </c>
      <c r="C210" s="28">
        <v>1110508</v>
      </c>
      <c r="D210" s="27" t="s">
        <v>225</v>
      </c>
      <c r="E210" s="29">
        <v>558347.4</v>
      </c>
      <c r="F210" s="29" t="s">
        <v>7</v>
      </c>
      <c r="G210" s="29" t="s">
        <v>64</v>
      </c>
      <c r="H210" s="29" t="s">
        <v>127</v>
      </c>
      <c r="I210" s="24"/>
      <c r="J210" s="24"/>
    </row>
    <row r="211" spans="1:10">
      <c r="A211" s="26">
        <v>657</v>
      </c>
      <c r="B211" s="27">
        <v>40588</v>
      </c>
      <c r="C211" s="28">
        <v>1110509</v>
      </c>
      <c r="D211" s="27" t="s">
        <v>225</v>
      </c>
      <c r="E211" s="29">
        <v>558347.4</v>
      </c>
      <c r="F211" s="29" t="s">
        <v>7</v>
      </c>
      <c r="G211" s="29" t="s">
        <v>64</v>
      </c>
      <c r="H211" s="29" t="s">
        <v>127</v>
      </c>
      <c r="I211" s="24"/>
      <c r="J211" s="24"/>
    </row>
    <row r="212" spans="1:10">
      <c r="A212" s="26">
        <v>658</v>
      </c>
      <c r="B212" s="27">
        <v>40588</v>
      </c>
      <c r="C212" s="28">
        <v>1110510</v>
      </c>
      <c r="D212" s="27" t="s">
        <v>225</v>
      </c>
      <c r="E212" s="29">
        <v>85899.6</v>
      </c>
      <c r="F212" s="29" t="s">
        <v>7</v>
      </c>
      <c r="G212" s="29" t="s">
        <v>64</v>
      </c>
      <c r="H212" s="29" t="s">
        <v>127</v>
      </c>
      <c r="I212" s="24"/>
      <c r="J212" s="24"/>
    </row>
    <row r="213" spans="1:10">
      <c r="A213" s="26">
        <v>659</v>
      </c>
      <c r="B213" s="27">
        <v>40588</v>
      </c>
      <c r="C213" s="28">
        <v>1110511</v>
      </c>
      <c r="D213" s="27" t="s">
        <v>225</v>
      </c>
      <c r="E213" s="29">
        <v>472447.8</v>
      </c>
      <c r="F213" s="29" t="s">
        <v>7</v>
      </c>
      <c r="G213" s="29" t="s">
        <v>64</v>
      </c>
      <c r="H213" s="29" t="s">
        <v>127</v>
      </c>
      <c r="I213" s="24"/>
      <c r="J213" s="24"/>
    </row>
    <row r="214" spans="1:10">
      <c r="A214" s="26">
        <v>660</v>
      </c>
      <c r="B214" s="27">
        <v>40588</v>
      </c>
      <c r="C214" s="28">
        <v>1110512</v>
      </c>
      <c r="D214" s="27" t="s">
        <v>225</v>
      </c>
      <c r="E214" s="29">
        <v>558347.4</v>
      </c>
      <c r="F214" s="29" t="s">
        <v>7</v>
      </c>
      <c r="G214" s="29" t="s">
        <v>64</v>
      </c>
      <c r="H214" s="29" t="s">
        <v>127</v>
      </c>
      <c r="I214" s="24"/>
      <c r="J214" s="24"/>
    </row>
    <row r="215" spans="1:10">
      <c r="A215" s="26">
        <v>661</v>
      </c>
      <c r="B215" s="27">
        <v>40618</v>
      </c>
      <c r="C215" s="28">
        <v>1110956</v>
      </c>
      <c r="D215" s="27" t="s">
        <v>225</v>
      </c>
      <c r="E215" s="29">
        <v>34531.58</v>
      </c>
      <c r="F215" s="29" t="s">
        <v>7</v>
      </c>
      <c r="G215" s="29" t="s">
        <v>64</v>
      </c>
      <c r="H215" s="29" t="s">
        <v>127</v>
      </c>
      <c r="I215" s="24"/>
      <c r="J215" s="24"/>
    </row>
    <row r="216" spans="1:10">
      <c r="A216" s="26">
        <v>663</v>
      </c>
      <c r="B216" s="27">
        <v>40656</v>
      </c>
      <c r="C216" s="28">
        <v>1111446</v>
      </c>
      <c r="D216" s="27" t="s">
        <v>225</v>
      </c>
      <c r="E216" s="29">
        <v>85899.6</v>
      </c>
      <c r="F216" s="29" t="s">
        <v>7</v>
      </c>
      <c r="G216" s="29" t="s">
        <v>64</v>
      </c>
      <c r="H216" s="29" t="s">
        <v>127</v>
      </c>
      <c r="I216" s="24"/>
      <c r="J216" s="24"/>
    </row>
    <row r="217" spans="1:10">
      <c r="A217" s="26">
        <v>664</v>
      </c>
      <c r="B217" s="27">
        <v>40656</v>
      </c>
      <c r="C217" s="28">
        <v>1111447</v>
      </c>
      <c r="D217" s="27" t="s">
        <v>225</v>
      </c>
      <c r="E217" s="29">
        <v>379880.5</v>
      </c>
      <c r="F217" s="29" t="s">
        <v>7</v>
      </c>
      <c r="G217" s="29" t="s">
        <v>64</v>
      </c>
      <c r="H217" s="29" t="s">
        <v>127</v>
      </c>
      <c r="I217" s="24"/>
      <c r="J217" s="24"/>
    </row>
    <row r="218" spans="1:10">
      <c r="A218" s="26">
        <v>665</v>
      </c>
      <c r="B218" s="27">
        <v>40656</v>
      </c>
      <c r="C218" s="28">
        <v>1111448</v>
      </c>
      <c r="D218" s="27" t="s">
        <v>225</v>
      </c>
      <c r="E218" s="29">
        <v>53125.5</v>
      </c>
      <c r="F218" s="29" t="s">
        <v>7</v>
      </c>
      <c r="G218" s="29" t="s">
        <v>64</v>
      </c>
      <c r="H218" s="29" t="s">
        <v>127</v>
      </c>
      <c r="I218" s="24"/>
      <c r="J218" s="24"/>
    </row>
    <row r="219" spans="1:10">
      <c r="A219" s="26">
        <v>666</v>
      </c>
      <c r="B219" s="27">
        <v>40675</v>
      </c>
      <c r="C219" s="28">
        <v>1111631</v>
      </c>
      <c r="D219" s="27" t="s">
        <v>225</v>
      </c>
      <c r="E219" s="29">
        <v>315350.40000000002</v>
      </c>
      <c r="F219" s="29" t="s">
        <v>7</v>
      </c>
      <c r="G219" s="29" t="s">
        <v>64</v>
      </c>
      <c r="H219" s="29" t="s">
        <v>127</v>
      </c>
      <c r="I219" s="24"/>
      <c r="J219" s="24"/>
    </row>
    <row r="220" spans="1:10">
      <c r="A220" s="26">
        <v>669</v>
      </c>
      <c r="B220" s="27">
        <v>40694</v>
      </c>
      <c r="C220" s="28">
        <v>1111915</v>
      </c>
      <c r="D220" s="27" t="s">
        <v>225</v>
      </c>
      <c r="E220" s="29">
        <v>709538.4</v>
      </c>
      <c r="F220" s="29" t="s">
        <v>7</v>
      </c>
      <c r="G220" s="29" t="s">
        <v>64</v>
      </c>
      <c r="H220" s="29" t="s">
        <v>127</v>
      </c>
      <c r="I220" s="24"/>
      <c r="J220" s="24"/>
    </row>
    <row r="221" spans="1:10">
      <c r="A221" s="26">
        <v>670</v>
      </c>
      <c r="B221" s="27">
        <v>40694</v>
      </c>
      <c r="C221" s="28">
        <v>1111916</v>
      </c>
      <c r="D221" s="27" t="s">
        <v>225</v>
      </c>
      <c r="E221" s="29">
        <v>236512.8</v>
      </c>
      <c r="F221" s="29" t="s">
        <v>7</v>
      </c>
      <c r="G221" s="29" t="s">
        <v>64</v>
      </c>
      <c r="H221" s="29" t="s">
        <v>127</v>
      </c>
      <c r="I221" s="24"/>
      <c r="J221" s="24"/>
    </row>
    <row r="222" spans="1:10">
      <c r="A222" s="26">
        <v>671</v>
      </c>
      <c r="B222" s="27">
        <v>40750</v>
      </c>
      <c r="C222" s="28">
        <v>1112576</v>
      </c>
      <c r="D222" s="27" t="s">
        <v>225</v>
      </c>
      <c r="E222" s="29">
        <v>21011.06</v>
      </c>
      <c r="F222" s="29" t="s">
        <v>7</v>
      </c>
      <c r="G222" s="29" t="s">
        <v>64</v>
      </c>
      <c r="H222" s="29" t="s">
        <v>127</v>
      </c>
      <c r="I222" s="24"/>
      <c r="J222" s="24"/>
    </row>
    <row r="223" spans="1:10">
      <c r="A223" s="26">
        <v>672</v>
      </c>
      <c r="B223" s="27">
        <v>40753</v>
      </c>
      <c r="C223" s="28">
        <v>1112603</v>
      </c>
      <c r="D223" s="27" t="s">
        <v>225</v>
      </c>
      <c r="E223" s="29">
        <v>546829.92000000004</v>
      </c>
      <c r="F223" s="29" t="s">
        <v>7</v>
      </c>
      <c r="G223" s="29" t="s">
        <v>64</v>
      </c>
      <c r="H223" s="29" t="s">
        <v>127</v>
      </c>
      <c r="I223" s="24"/>
      <c r="J223" s="24"/>
    </row>
    <row r="224" spans="1:10">
      <c r="A224" s="26">
        <v>674</v>
      </c>
      <c r="B224" s="27">
        <v>40778</v>
      </c>
      <c r="C224" s="28">
        <v>1112873</v>
      </c>
      <c r="D224" s="27" t="s">
        <v>225</v>
      </c>
      <c r="E224" s="29">
        <v>30024.74</v>
      </c>
      <c r="F224" s="29" t="s">
        <v>7</v>
      </c>
      <c r="G224" s="29" t="s">
        <v>64</v>
      </c>
      <c r="H224" s="29" t="s">
        <v>127</v>
      </c>
      <c r="I224" s="24"/>
      <c r="J224" s="24"/>
    </row>
    <row r="225" spans="1:10">
      <c r="A225" s="26">
        <v>675</v>
      </c>
      <c r="B225" s="27">
        <v>40792</v>
      </c>
      <c r="C225" s="28">
        <v>1113050</v>
      </c>
      <c r="D225" s="27" t="s">
        <v>225</v>
      </c>
      <c r="E225" s="29">
        <v>55946.29</v>
      </c>
      <c r="F225" s="29" t="s">
        <v>7</v>
      </c>
      <c r="G225" s="29" t="s">
        <v>64</v>
      </c>
      <c r="H225" s="29" t="s">
        <v>127</v>
      </c>
      <c r="I225" s="24"/>
      <c r="J225" s="24"/>
    </row>
    <row r="226" spans="1:10">
      <c r="A226" s="26">
        <v>676</v>
      </c>
      <c r="B226" s="27">
        <v>40792</v>
      </c>
      <c r="C226" s="28">
        <v>1113051</v>
      </c>
      <c r="D226" s="27" t="s">
        <v>225</v>
      </c>
      <c r="E226" s="29">
        <v>28167.75</v>
      </c>
      <c r="F226" s="29" t="s">
        <v>7</v>
      </c>
      <c r="G226" s="29" t="s">
        <v>64</v>
      </c>
      <c r="H226" s="29" t="s">
        <v>127</v>
      </c>
      <c r="I226" s="24"/>
      <c r="J226" s="24"/>
    </row>
    <row r="227" spans="1:10">
      <c r="A227" s="26">
        <v>677</v>
      </c>
      <c r="B227" s="27">
        <v>40634</v>
      </c>
      <c r="C227" s="28">
        <v>1111184</v>
      </c>
      <c r="D227" s="27" t="s">
        <v>225</v>
      </c>
      <c r="E227" s="29">
        <v>770189.21</v>
      </c>
      <c r="F227" s="29" t="s">
        <v>7</v>
      </c>
      <c r="G227" s="29" t="s">
        <v>65</v>
      </c>
      <c r="H227" s="29" t="s">
        <v>127</v>
      </c>
      <c r="I227" s="24"/>
      <c r="J227" s="24"/>
    </row>
    <row r="228" spans="1:10">
      <c r="A228" s="26">
        <v>679</v>
      </c>
      <c r="B228" s="27">
        <v>40638</v>
      </c>
      <c r="C228" s="28">
        <v>1111233</v>
      </c>
      <c r="D228" s="27" t="s">
        <v>225</v>
      </c>
      <c r="E228" s="29">
        <v>173835.41</v>
      </c>
      <c r="F228" s="29" t="s">
        <v>7</v>
      </c>
      <c r="G228" s="29" t="s">
        <v>65</v>
      </c>
      <c r="H228" s="29" t="s">
        <v>127</v>
      </c>
      <c r="I228" s="24"/>
      <c r="J228" s="24"/>
    </row>
    <row r="229" spans="1:10">
      <c r="A229" s="26">
        <v>680</v>
      </c>
      <c r="B229" s="27">
        <v>40638</v>
      </c>
      <c r="C229" s="28">
        <v>1111234</v>
      </c>
      <c r="D229" s="27" t="s">
        <v>225</v>
      </c>
      <c r="E229" s="29">
        <v>161263.45000000001</v>
      </c>
      <c r="F229" s="29" t="s">
        <v>7</v>
      </c>
      <c r="G229" s="29" t="s">
        <v>65</v>
      </c>
      <c r="H229" s="29" t="s">
        <v>127</v>
      </c>
      <c r="I229" s="24"/>
      <c r="J229" s="24"/>
    </row>
    <row r="230" spans="1:10">
      <c r="A230" s="26">
        <v>681</v>
      </c>
      <c r="B230" s="27">
        <v>40659</v>
      </c>
      <c r="C230" s="28">
        <v>1111484</v>
      </c>
      <c r="D230" s="27" t="s">
        <v>225</v>
      </c>
      <c r="E230" s="29">
        <v>106657.60000000001</v>
      </c>
      <c r="F230" s="29" t="s">
        <v>7</v>
      </c>
      <c r="G230" s="29" t="s">
        <v>65</v>
      </c>
      <c r="H230" s="29" t="s">
        <v>127</v>
      </c>
      <c r="I230" s="24"/>
      <c r="J230" s="24"/>
    </row>
    <row r="231" spans="1:10">
      <c r="A231" s="26">
        <v>682</v>
      </c>
      <c r="B231" s="27">
        <v>40719</v>
      </c>
      <c r="C231" s="28">
        <v>1112266</v>
      </c>
      <c r="D231" s="27" t="s">
        <v>225</v>
      </c>
      <c r="E231" s="29">
        <v>251113.49</v>
      </c>
      <c r="F231" s="29" t="s">
        <v>7</v>
      </c>
      <c r="G231" s="29" t="s">
        <v>66</v>
      </c>
      <c r="H231" s="29" t="s">
        <v>127</v>
      </c>
      <c r="I231" s="24"/>
      <c r="J231" s="24"/>
    </row>
    <row r="232" spans="1:10">
      <c r="A232" s="26">
        <v>683</v>
      </c>
      <c r="B232" s="27">
        <v>40738</v>
      </c>
      <c r="C232" s="28">
        <v>1112480</v>
      </c>
      <c r="D232" s="27" t="s">
        <v>225</v>
      </c>
      <c r="E232" s="29">
        <v>164705.1</v>
      </c>
      <c r="F232" s="29" t="s">
        <v>7</v>
      </c>
      <c r="G232" s="29" t="s">
        <v>66</v>
      </c>
      <c r="H232" s="29" t="s">
        <v>127</v>
      </c>
      <c r="I232" s="24"/>
      <c r="J232" s="24"/>
    </row>
    <row r="233" spans="1:10">
      <c r="A233" s="26">
        <v>684</v>
      </c>
      <c r="B233" s="27">
        <v>40770</v>
      </c>
      <c r="C233" s="28">
        <v>1112740</v>
      </c>
      <c r="D233" s="27" t="s">
        <v>225</v>
      </c>
      <c r="E233" s="29">
        <v>321564.43</v>
      </c>
      <c r="F233" s="29" t="s">
        <v>7</v>
      </c>
      <c r="G233" s="29" t="s">
        <v>66</v>
      </c>
      <c r="H233" s="29" t="s">
        <v>127</v>
      </c>
      <c r="I233" s="24"/>
      <c r="J233" s="24"/>
    </row>
    <row r="234" spans="1:10">
      <c r="A234" s="26">
        <v>685</v>
      </c>
      <c r="B234" s="27">
        <v>40868</v>
      </c>
      <c r="C234" s="27" t="s">
        <v>295</v>
      </c>
      <c r="D234" s="27">
        <v>40913</v>
      </c>
      <c r="E234" s="29">
        <v>184798.42</v>
      </c>
      <c r="F234" s="29" t="s">
        <v>31</v>
      </c>
      <c r="G234" s="29" t="s">
        <v>62</v>
      </c>
      <c r="H234" s="29" t="s">
        <v>127</v>
      </c>
      <c r="I234" s="24"/>
      <c r="J234" s="24"/>
    </row>
    <row r="235" spans="1:10">
      <c r="A235" s="26">
        <v>686</v>
      </c>
      <c r="B235" s="27">
        <v>40872</v>
      </c>
      <c r="C235" s="27" t="s">
        <v>296</v>
      </c>
      <c r="D235" s="27">
        <v>40917</v>
      </c>
      <c r="E235" s="29">
        <v>8362.0499999999993</v>
      </c>
      <c r="F235" s="29" t="s">
        <v>31</v>
      </c>
      <c r="G235" s="29" t="s">
        <v>62</v>
      </c>
      <c r="H235" s="29" t="s">
        <v>127</v>
      </c>
      <c r="I235" s="24"/>
      <c r="J235" s="24"/>
    </row>
    <row r="236" spans="1:10">
      <c r="A236" s="26">
        <v>687</v>
      </c>
      <c r="B236" s="27">
        <v>40885</v>
      </c>
      <c r="C236" s="27" t="s">
        <v>297</v>
      </c>
      <c r="D236" s="27">
        <v>40930</v>
      </c>
      <c r="E236" s="29">
        <v>55076.11</v>
      </c>
      <c r="F236" s="29" t="s">
        <v>31</v>
      </c>
      <c r="G236" s="29" t="s">
        <v>62</v>
      </c>
      <c r="H236" s="29" t="s">
        <v>127</v>
      </c>
      <c r="I236" s="24"/>
      <c r="J236" s="24"/>
    </row>
    <row r="237" spans="1:10">
      <c r="A237" s="26">
        <v>688</v>
      </c>
      <c r="B237" s="27">
        <v>40885</v>
      </c>
      <c r="C237" s="27" t="s">
        <v>298</v>
      </c>
      <c r="D237" s="27">
        <v>40930</v>
      </c>
      <c r="E237" s="29">
        <v>55076.11</v>
      </c>
      <c r="F237" s="29" t="s">
        <v>31</v>
      </c>
      <c r="G237" s="29" t="s">
        <v>62</v>
      </c>
      <c r="H237" s="29" t="s">
        <v>127</v>
      </c>
      <c r="I237" s="24"/>
      <c r="J237" s="24"/>
    </row>
    <row r="238" spans="1:10">
      <c r="A238" s="26">
        <v>689</v>
      </c>
      <c r="B238" s="27">
        <v>40657</v>
      </c>
      <c r="C238" s="28" t="s">
        <v>299</v>
      </c>
      <c r="D238" s="28" t="s">
        <v>303</v>
      </c>
      <c r="E238" s="29">
        <v>20865</v>
      </c>
      <c r="F238" s="29" t="s">
        <v>10</v>
      </c>
      <c r="G238" s="29" t="s">
        <v>61</v>
      </c>
      <c r="H238" s="29" t="s">
        <v>127</v>
      </c>
      <c r="I238" s="24"/>
      <c r="J238" s="24"/>
    </row>
    <row r="239" spans="1:10">
      <c r="A239" s="26">
        <v>690</v>
      </c>
      <c r="B239" s="27">
        <v>40657</v>
      </c>
      <c r="C239" s="28" t="s">
        <v>300</v>
      </c>
      <c r="D239" s="28" t="s">
        <v>303</v>
      </c>
      <c r="E239" s="29">
        <v>2782000</v>
      </c>
      <c r="F239" s="29" t="s">
        <v>10</v>
      </c>
      <c r="G239" s="29" t="s">
        <v>61</v>
      </c>
      <c r="H239" s="29" t="s">
        <v>127</v>
      </c>
      <c r="I239" s="24"/>
      <c r="J239" s="24"/>
    </row>
    <row r="240" spans="1:10">
      <c r="A240" s="26">
        <v>691</v>
      </c>
      <c r="B240" s="27">
        <v>40657</v>
      </c>
      <c r="C240" s="28" t="s">
        <v>301</v>
      </c>
      <c r="D240" s="28" t="s">
        <v>303</v>
      </c>
      <c r="E240" s="29">
        <v>2118600</v>
      </c>
      <c r="F240" s="29" t="s">
        <v>10</v>
      </c>
      <c r="G240" s="29" t="s">
        <v>61</v>
      </c>
      <c r="H240" s="29" t="s">
        <v>127</v>
      </c>
      <c r="I240" s="24"/>
      <c r="J240" s="24"/>
    </row>
    <row r="241" spans="1:10">
      <c r="A241" s="26">
        <v>692</v>
      </c>
      <c r="B241" s="27">
        <v>40657</v>
      </c>
      <c r="C241" s="28" t="s">
        <v>302</v>
      </c>
      <c r="D241" s="28" t="s">
        <v>303</v>
      </c>
      <c r="E241" s="29">
        <v>834600</v>
      </c>
      <c r="F241" s="29" t="s">
        <v>10</v>
      </c>
      <c r="G241" s="29" t="s">
        <v>61</v>
      </c>
      <c r="H241" s="29" t="s">
        <v>127</v>
      </c>
      <c r="I241" s="24"/>
      <c r="J241" s="24"/>
    </row>
    <row r="242" spans="1:10">
      <c r="A242" s="26">
        <v>695</v>
      </c>
      <c r="B242" s="27">
        <v>40756</v>
      </c>
      <c r="C242" s="28" t="s">
        <v>304</v>
      </c>
      <c r="D242" s="28" t="s">
        <v>303</v>
      </c>
      <c r="E242" s="29">
        <v>2244860</v>
      </c>
      <c r="F242" s="29" t="s">
        <v>10</v>
      </c>
      <c r="G242" s="29" t="s">
        <v>61</v>
      </c>
      <c r="H242" s="29" t="s">
        <v>127</v>
      </c>
      <c r="I242" s="24"/>
      <c r="J242" s="24"/>
    </row>
    <row r="243" spans="1:10">
      <c r="A243" s="26">
        <v>758</v>
      </c>
      <c r="B243" s="27" t="s">
        <v>225</v>
      </c>
      <c r="C243" s="28" t="s">
        <v>305</v>
      </c>
      <c r="D243" s="28" t="s">
        <v>225</v>
      </c>
      <c r="E243" s="29">
        <v>56294.2</v>
      </c>
      <c r="F243" s="29" t="s">
        <v>6</v>
      </c>
      <c r="G243" s="29" t="s">
        <v>64</v>
      </c>
      <c r="H243" s="29" t="s">
        <v>127</v>
      </c>
      <c r="I243" s="24"/>
      <c r="J243" s="24"/>
    </row>
    <row r="244" spans="1:10">
      <c r="A244" s="26">
        <v>759</v>
      </c>
      <c r="B244" s="27" t="s">
        <v>225</v>
      </c>
      <c r="C244" s="28" t="s">
        <v>306</v>
      </c>
      <c r="D244" s="28" t="s">
        <v>225</v>
      </c>
      <c r="E244" s="29">
        <v>433071.47</v>
      </c>
      <c r="F244" s="29" t="s">
        <v>6</v>
      </c>
      <c r="G244" s="29" t="s">
        <v>64</v>
      </c>
      <c r="H244" s="29" t="s">
        <v>127</v>
      </c>
      <c r="I244" s="24"/>
      <c r="J244" s="24"/>
    </row>
    <row r="245" spans="1:10">
      <c r="A245" s="26">
        <v>760</v>
      </c>
      <c r="B245" s="27" t="s">
        <v>225</v>
      </c>
      <c r="C245" s="28" t="s">
        <v>307</v>
      </c>
      <c r="D245" s="28" t="s">
        <v>225</v>
      </c>
      <c r="E245" s="29">
        <v>5808.26</v>
      </c>
      <c r="F245" s="29" t="s">
        <v>6</v>
      </c>
      <c r="G245" s="29" t="s">
        <v>64</v>
      </c>
      <c r="H245" s="29" t="s">
        <v>127</v>
      </c>
      <c r="I245" s="24"/>
      <c r="J245" s="24"/>
    </row>
    <row r="246" spans="1:10">
      <c r="A246" s="26">
        <v>761</v>
      </c>
      <c r="B246" s="27">
        <v>40651</v>
      </c>
      <c r="C246" s="28" t="s">
        <v>220</v>
      </c>
      <c r="D246" s="28" t="s">
        <v>225</v>
      </c>
      <c r="E246" s="29">
        <v>485352</v>
      </c>
      <c r="F246" s="29" t="s">
        <v>6</v>
      </c>
      <c r="G246" s="29" t="s">
        <v>65</v>
      </c>
      <c r="H246" s="29" t="s">
        <v>127</v>
      </c>
      <c r="I246" s="24"/>
      <c r="J246" s="24"/>
    </row>
    <row r="247" spans="1:10">
      <c r="A247" s="26">
        <v>762</v>
      </c>
      <c r="B247" s="27">
        <v>40663</v>
      </c>
      <c r="C247" s="28" t="s">
        <v>221</v>
      </c>
      <c r="D247" s="28" t="s">
        <v>225</v>
      </c>
      <c r="E247" s="29">
        <v>10703.75</v>
      </c>
      <c r="F247" s="29" t="s">
        <v>6</v>
      </c>
      <c r="G247" s="29" t="s">
        <v>65</v>
      </c>
      <c r="H247" s="29" t="s">
        <v>127</v>
      </c>
      <c r="I247" s="24"/>
      <c r="J247" s="24"/>
    </row>
    <row r="248" spans="1:10">
      <c r="A248" s="26">
        <v>763</v>
      </c>
      <c r="B248" s="27">
        <v>40659</v>
      </c>
      <c r="C248" s="28" t="s">
        <v>308</v>
      </c>
      <c r="D248" s="28" t="s">
        <v>225</v>
      </c>
      <c r="E248" s="29">
        <v>23540</v>
      </c>
      <c r="F248" s="29" t="s">
        <v>6</v>
      </c>
      <c r="G248" s="29" t="s">
        <v>65</v>
      </c>
      <c r="H248" s="29" t="s">
        <v>127</v>
      </c>
      <c r="I248" s="24"/>
      <c r="J248" s="24"/>
    </row>
    <row r="249" spans="1:10">
      <c r="A249" s="26">
        <v>764</v>
      </c>
      <c r="B249" s="27">
        <v>40659</v>
      </c>
      <c r="C249" s="28" t="s">
        <v>222</v>
      </c>
      <c r="D249" s="28" t="s">
        <v>225</v>
      </c>
      <c r="E249" s="29">
        <v>468324.98</v>
      </c>
      <c r="F249" s="29" t="s">
        <v>6</v>
      </c>
      <c r="G249" s="29" t="s">
        <v>65</v>
      </c>
      <c r="H249" s="29" t="s">
        <v>127</v>
      </c>
      <c r="I249" s="24"/>
      <c r="J249" s="24"/>
    </row>
    <row r="250" spans="1:10">
      <c r="A250" s="26">
        <v>765</v>
      </c>
      <c r="B250" s="27">
        <v>40677</v>
      </c>
      <c r="C250" s="28" t="s">
        <v>223</v>
      </c>
      <c r="D250" s="28" t="s">
        <v>225</v>
      </c>
      <c r="E250" s="29">
        <v>67783.429999999993</v>
      </c>
      <c r="F250" s="29" t="s">
        <v>6</v>
      </c>
      <c r="G250" s="29" t="s">
        <v>65</v>
      </c>
      <c r="H250" s="29" t="s">
        <v>127</v>
      </c>
      <c r="I250" s="24"/>
      <c r="J250" s="24"/>
    </row>
    <row r="251" spans="1:10">
      <c r="A251" s="26">
        <v>766</v>
      </c>
      <c r="B251" s="27">
        <v>40677</v>
      </c>
      <c r="C251" s="28" t="s">
        <v>224</v>
      </c>
      <c r="D251" s="28" t="s">
        <v>225</v>
      </c>
      <c r="E251" s="29">
        <v>1981.64</v>
      </c>
      <c r="F251" s="29" t="s">
        <v>6</v>
      </c>
      <c r="G251" s="29" t="s">
        <v>65</v>
      </c>
      <c r="H251" s="29" t="s">
        <v>127</v>
      </c>
      <c r="I251" s="24"/>
      <c r="J251" s="24"/>
    </row>
    <row r="252" spans="1:10">
      <c r="A252" s="26">
        <v>767</v>
      </c>
      <c r="B252" s="27">
        <v>40599</v>
      </c>
      <c r="C252" s="28" t="s">
        <v>309</v>
      </c>
      <c r="D252" s="28" t="s">
        <v>225</v>
      </c>
      <c r="E252" s="29">
        <v>23213.65</v>
      </c>
      <c r="F252" s="29" t="s">
        <v>6</v>
      </c>
      <c r="G252" s="29" t="s">
        <v>115</v>
      </c>
      <c r="H252" s="29" t="s">
        <v>127</v>
      </c>
      <c r="I252" s="24"/>
      <c r="J252" s="24"/>
    </row>
    <row r="253" spans="1:10">
      <c r="A253" s="26">
        <v>768</v>
      </c>
      <c r="B253" s="27">
        <v>40602</v>
      </c>
      <c r="C253" s="28" t="s">
        <v>310</v>
      </c>
      <c r="D253" s="28" t="s">
        <v>225</v>
      </c>
      <c r="E253" s="29">
        <v>374710.79</v>
      </c>
      <c r="F253" s="29" t="s">
        <v>6</v>
      </c>
      <c r="G253" s="29" t="s">
        <v>115</v>
      </c>
      <c r="H253" s="29" t="s">
        <v>127</v>
      </c>
      <c r="I253" s="24"/>
      <c r="J253" s="24"/>
    </row>
    <row r="254" spans="1:10">
      <c r="A254" s="26">
        <v>769</v>
      </c>
      <c r="B254" s="27">
        <v>40602</v>
      </c>
      <c r="C254" s="28" t="s">
        <v>311</v>
      </c>
      <c r="D254" s="28" t="s">
        <v>225</v>
      </c>
      <c r="E254" s="29">
        <v>722490.64</v>
      </c>
      <c r="F254" s="29" t="s">
        <v>6</v>
      </c>
      <c r="G254" s="29" t="s">
        <v>115</v>
      </c>
      <c r="H254" s="29" t="s">
        <v>127</v>
      </c>
      <c r="I254" s="24"/>
      <c r="J254" s="24"/>
    </row>
    <row r="255" spans="1:10">
      <c r="A255" s="26">
        <v>770</v>
      </c>
      <c r="B255" s="27">
        <v>40618</v>
      </c>
      <c r="C255" s="28" t="s">
        <v>312</v>
      </c>
      <c r="D255" s="28" t="s">
        <v>225</v>
      </c>
      <c r="E255" s="29">
        <v>365137.5</v>
      </c>
      <c r="F255" s="29" t="s">
        <v>6</v>
      </c>
      <c r="G255" s="29" t="s">
        <v>115</v>
      </c>
      <c r="H255" s="29" t="s">
        <v>127</v>
      </c>
      <c r="I255" s="24"/>
      <c r="J255" s="24"/>
    </row>
    <row r="256" spans="1:10">
      <c r="A256" s="26">
        <v>796</v>
      </c>
      <c r="B256" s="27">
        <v>40610</v>
      </c>
      <c r="C256" s="28" t="s">
        <v>313</v>
      </c>
      <c r="D256" s="27" t="s">
        <v>225</v>
      </c>
      <c r="E256" s="29">
        <v>4066</v>
      </c>
      <c r="F256" s="29" t="s">
        <v>77</v>
      </c>
      <c r="G256" s="29" t="s">
        <v>115</v>
      </c>
      <c r="H256" s="29" t="s">
        <v>127</v>
      </c>
      <c r="I256" s="24"/>
      <c r="J256" s="24"/>
    </row>
    <row r="257" spans="1:10">
      <c r="A257" s="26">
        <v>797</v>
      </c>
      <c r="B257" s="27">
        <v>40645</v>
      </c>
      <c r="C257" s="27" t="s">
        <v>314</v>
      </c>
      <c r="D257" s="27" t="s">
        <v>225</v>
      </c>
      <c r="E257" s="29">
        <v>187875.56</v>
      </c>
      <c r="F257" s="29" t="s">
        <v>77</v>
      </c>
      <c r="G257" s="29" t="s">
        <v>115</v>
      </c>
      <c r="H257" s="29" t="s">
        <v>127</v>
      </c>
      <c r="I257" s="24"/>
      <c r="J257" s="24"/>
    </row>
    <row r="258" spans="1:10">
      <c r="A258" s="26">
        <v>798</v>
      </c>
      <c r="B258" s="27">
        <v>40645</v>
      </c>
      <c r="C258" s="27" t="s">
        <v>315</v>
      </c>
      <c r="D258" s="27" t="s">
        <v>225</v>
      </c>
      <c r="E258" s="29">
        <v>4258.6000000000004</v>
      </c>
      <c r="F258" s="29" t="s">
        <v>77</v>
      </c>
      <c r="G258" s="29" t="s">
        <v>115</v>
      </c>
      <c r="H258" s="29" t="s">
        <v>127</v>
      </c>
      <c r="I258" s="24"/>
      <c r="J258" s="24"/>
    </row>
    <row r="259" spans="1:10">
      <c r="A259" s="26">
        <v>799</v>
      </c>
      <c r="B259" s="27">
        <v>40645</v>
      </c>
      <c r="C259" s="27" t="s">
        <v>316</v>
      </c>
      <c r="D259" s="27" t="s">
        <v>225</v>
      </c>
      <c r="E259" s="29">
        <v>4066</v>
      </c>
      <c r="F259" s="29" t="s">
        <v>77</v>
      </c>
      <c r="G259" s="29" t="s">
        <v>115</v>
      </c>
      <c r="H259" s="29" t="s">
        <v>127</v>
      </c>
      <c r="I259" s="24"/>
      <c r="J259" s="24"/>
    </row>
    <row r="260" spans="1:10">
      <c r="A260" s="26">
        <v>800</v>
      </c>
      <c r="B260" s="27">
        <v>40672</v>
      </c>
      <c r="C260" s="27" t="s">
        <v>317</v>
      </c>
      <c r="D260" s="27" t="s">
        <v>225</v>
      </c>
      <c r="E260" s="29">
        <v>163369.1</v>
      </c>
      <c r="F260" s="29" t="s">
        <v>77</v>
      </c>
      <c r="G260" s="29" t="s">
        <v>115</v>
      </c>
      <c r="H260" s="29" t="s">
        <v>127</v>
      </c>
      <c r="I260" s="24"/>
      <c r="J260" s="24"/>
    </row>
    <row r="261" spans="1:10">
      <c r="A261" s="26">
        <v>801</v>
      </c>
      <c r="B261" s="27">
        <v>40695</v>
      </c>
      <c r="C261" s="27" t="s">
        <v>318</v>
      </c>
      <c r="D261" s="27" t="s">
        <v>225</v>
      </c>
      <c r="E261" s="29">
        <v>236079.45</v>
      </c>
      <c r="F261" s="29" t="s">
        <v>76</v>
      </c>
      <c r="G261" s="29" t="s">
        <v>61</v>
      </c>
      <c r="H261" s="29" t="s">
        <v>127</v>
      </c>
      <c r="I261" s="24"/>
      <c r="J261" s="24"/>
    </row>
    <row r="262" spans="1:10">
      <c r="A262" s="26">
        <v>802</v>
      </c>
      <c r="B262" s="27">
        <v>40695</v>
      </c>
      <c r="C262" s="28" t="s">
        <v>319</v>
      </c>
      <c r="D262" s="27" t="s">
        <v>225</v>
      </c>
      <c r="E262" s="29">
        <v>16395.61</v>
      </c>
      <c r="F262" s="29" t="s">
        <v>76</v>
      </c>
      <c r="G262" s="29" t="s">
        <v>61</v>
      </c>
      <c r="H262" s="29" t="s">
        <v>127</v>
      </c>
      <c r="I262" s="24"/>
      <c r="J262" s="24"/>
    </row>
    <row r="263" spans="1:10">
      <c r="A263" s="26">
        <v>803</v>
      </c>
      <c r="B263" s="27">
        <v>40695</v>
      </c>
      <c r="C263" s="28" t="s">
        <v>320</v>
      </c>
      <c r="D263" s="27" t="s">
        <v>225</v>
      </c>
      <c r="E263" s="29">
        <v>43064.83</v>
      </c>
      <c r="F263" s="29" t="s">
        <v>76</v>
      </c>
      <c r="G263" s="29" t="s">
        <v>61</v>
      </c>
      <c r="H263" s="29" t="s">
        <v>127</v>
      </c>
      <c r="I263" s="24"/>
      <c r="J263" s="24"/>
    </row>
    <row r="264" spans="1:10">
      <c r="A264" s="26">
        <v>804</v>
      </c>
      <c r="B264" s="27">
        <v>40723</v>
      </c>
      <c r="C264" s="28" t="s">
        <v>321</v>
      </c>
      <c r="D264" s="27" t="s">
        <v>225</v>
      </c>
      <c r="E264" s="29">
        <v>6179.25</v>
      </c>
      <c r="F264" s="29" t="s">
        <v>76</v>
      </c>
      <c r="G264" s="29" t="s">
        <v>61</v>
      </c>
      <c r="H264" s="29" t="s">
        <v>127</v>
      </c>
      <c r="I264" s="24"/>
      <c r="J264" s="24"/>
    </row>
    <row r="265" spans="1:10">
      <c r="A265" s="26">
        <v>805</v>
      </c>
      <c r="B265" s="27">
        <v>40446</v>
      </c>
      <c r="C265" s="28">
        <v>208066</v>
      </c>
      <c r="D265" s="27">
        <v>40521</v>
      </c>
      <c r="E265" s="29">
        <v>441758</v>
      </c>
      <c r="F265" s="29" t="s">
        <v>37</v>
      </c>
      <c r="G265" s="29" t="s">
        <v>61</v>
      </c>
      <c r="H265" s="29" t="s">
        <v>127</v>
      </c>
      <c r="I265" s="24"/>
      <c r="J265" s="24"/>
    </row>
    <row r="266" spans="1:10">
      <c r="A266" s="26">
        <v>1205</v>
      </c>
      <c r="B266" s="27">
        <v>40897</v>
      </c>
      <c r="C266" s="28" t="s">
        <v>322</v>
      </c>
      <c r="D266" s="27">
        <v>40592</v>
      </c>
      <c r="E266" s="29">
        <v>7711.7</v>
      </c>
      <c r="F266" s="29" t="s">
        <v>16</v>
      </c>
      <c r="G266" s="29" t="s">
        <v>61</v>
      </c>
      <c r="H266" s="29" t="s">
        <v>127</v>
      </c>
      <c r="I266" s="24"/>
      <c r="J266" s="24"/>
    </row>
    <row r="267" spans="1:10">
      <c r="A267" s="26">
        <v>1206</v>
      </c>
      <c r="B267" s="27">
        <v>40898</v>
      </c>
      <c r="C267" s="28" t="s">
        <v>323</v>
      </c>
      <c r="D267" s="27">
        <v>40593</v>
      </c>
      <c r="E267" s="29">
        <v>8185.5</v>
      </c>
      <c r="F267" s="29" t="s">
        <v>16</v>
      </c>
      <c r="G267" s="29" t="s">
        <v>61</v>
      </c>
      <c r="H267" s="29" t="s">
        <v>127</v>
      </c>
      <c r="I267" s="24"/>
      <c r="J267" s="24"/>
    </row>
    <row r="268" spans="1:10">
      <c r="A268" s="26">
        <v>1207</v>
      </c>
      <c r="B268" s="27">
        <v>40899</v>
      </c>
      <c r="C268" s="28" t="s">
        <v>324</v>
      </c>
      <c r="D268" s="27">
        <v>40594</v>
      </c>
      <c r="E268" s="29">
        <v>5141.1400000000003</v>
      </c>
      <c r="F268" s="29" t="s">
        <v>16</v>
      </c>
      <c r="G268" s="29" t="s">
        <v>61</v>
      </c>
      <c r="H268" s="29" t="s">
        <v>127</v>
      </c>
      <c r="I268" s="24"/>
      <c r="J268" s="24"/>
    </row>
    <row r="269" spans="1:10">
      <c r="A269" s="26">
        <v>1208</v>
      </c>
      <c r="B269" s="27">
        <v>40902</v>
      </c>
      <c r="C269" s="28" t="s">
        <v>325</v>
      </c>
      <c r="D269" s="27">
        <v>40597</v>
      </c>
      <c r="E269" s="29">
        <v>3855.85</v>
      </c>
      <c r="F269" s="29" t="s">
        <v>16</v>
      </c>
      <c r="G269" s="29" t="s">
        <v>61</v>
      </c>
      <c r="H269" s="29" t="s">
        <v>127</v>
      </c>
      <c r="I269" s="24"/>
      <c r="J269" s="24"/>
    </row>
    <row r="270" spans="1:10">
      <c r="A270" s="26">
        <v>1209</v>
      </c>
      <c r="B270" s="27">
        <v>40902</v>
      </c>
      <c r="C270" s="28" t="s">
        <v>326</v>
      </c>
      <c r="D270" s="27">
        <v>40931</v>
      </c>
      <c r="E270" s="29">
        <v>2608.13</v>
      </c>
      <c r="F270" s="29" t="s">
        <v>16</v>
      </c>
      <c r="G270" s="29" t="s">
        <v>61</v>
      </c>
      <c r="H270" s="29" t="s">
        <v>127</v>
      </c>
      <c r="I270" s="24"/>
      <c r="J270" s="24"/>
    </row>
    <row r="271" spans="1:10">
      <c r="A271" s="26">
        <v>1210</v>
      </c>
      <c r="B271" s="27">
        <v>40903</v>
      </c>
      <c r="C271" s="28" t="s">
        <v>327</v>
      </c>
      <c r="D271" s="27">
        <v>40963</v>
      </c>
      <c r="E271" s="29">
        <v>5728.35</v>
      </c>
      <c r="F271" s="29" t="s">
        <v>16</v>
      </c>
      <c r="G271" s="29" t="s">
        <v>61</v>
      </c>
      <c r="H271" s="29" t="s">
        <v>127</v>
      </c>
      <c r="I271" s="24"/>
      <c r="J271" s="24"/>
    </row>
    <row r="272" spans="1:10">
      <c r="A272" s="26">
        <v>1211</v>
      </c>
      <c r="B272" s="27">
        <v>40905</v>
      </c>
      <c r="C272" s="28" t="s">
        <v>328</v>
      </c>
      <c r="D272" s="27">
        <v>40965</v>
      </c>
      <c r="E272" s="29">
        <v>2115.1799999999998</v>
      </c>
      <c r="F272" s="29" t="s">
        <v>16</v>
      </c>
      <c r="G272" s="29" t="s">
        <v>61</v>
      </c>
      <c r="H272" s="29" t="s">
        <v>127</v>
      </c>
      <c r="I272" s="24"/>
      <c r="J272" s="24"/>
    </row>
    <row r="273" spans="1:10">
      <c r="A273" s="26">
        <v>1212</v>
      </c>
      <c r="B273" s="27">
        <v>40905</v>
      </c>
      <c r="C273" s="28" t="s">
        <v>329</v>
      </c>
      <c r="D273" s="27">
        <v>40965</v>
      </c>
      <c r="E273" s="29">
        <v>5464.7</v>
      </c>
      <c r="F273" s="29" t="s">
        <v>16</v>
      </c>
      <c r="G273" s="29" t="s">
        <v>61</v>
      </c>
      <c r="H273" s="29" t="s">
        <v>127</v>
      </c>
      <c r="I273" s="24"/>
      <c r="J273" s="24"/>
    </row>
    <row r="274" spans="1:10">
      <c r="A274" s="26">
        <v>1213</v>
      </c>
      <c r="B274" s="27">
        <v>40906</v>
      </c>
      <c r="C274" s="28" t="s">
        <v>330</v>
      </c>
      <c r="D274" s="27">
        <v>40966</v>
      </c>
      <c r="E274" s="29">
        <v>5464.7</v>
      </c>
      <c r="F274" s="29" t="s">
        <v>16</v>
      </c>
      <c r="G274" s="29" t="s">
        <v>61</v>
      </c>
      <c r="H274" s="29" t="s">
        <v>127</v>
      </c>
      <c r="I274" s="24"/>
      <c r="J274" s="24"/>
    </row>
    <row r="275" spans="1:10">
      <c r="A275" s="26">
        <v>1214</v>
      </c>
      <c r="B275" s="27">
        <v>40916</v>
      </c>
      <c r="C275" s="28" t="s">
        <v>331</v>
      </c>
      <c r="D275" s="27">
        <v>40976</v>
      </c>
      <c r="E275" s="29">
        <v>4092.75</v>
      </c>
      <c r="F275" s="29" t="s">
        <v>16</v>
      </c>
      <c r="G275" s="29" t="s">
        <v>61</v>
      </c>
      <c r="H275" s="29" t="s">
        <v>127</v>
      </c>
      <c r="I275" s="24"/>
      <c r="J275" s="24"/>
    </row>
    <row r="276" spans="1:10">
      <c r="A276" s="26">
        <v>1215</v>
      </c>
      <c r="B276" s="27">
        <v>40918</v>
      </c>
      <c r="C276" s="28" t="s">
        <v>332</v>
      </c>
      <c r="D276" s="27">
        <v>40978</v>
      </c>
      <c r="E276" s="29">
        <v>4092.75</v>
      </c>
      <c r="F276" s="29" t="s">
        <v>16</v>
      </c>
      <c r="G276" s="29" t="s">
        <v>61</v>
      </c>
      <c r="H276" s="29" t="s">
        <v>127</v>
      </c>
      <c r="I276" s="24"/>
      <c r="J276" s="24"/>
    </row>
    <row r="277" spans="1:10">
      <c r="A277" s="26">
        <v>1216</v>
      </c>
      <c r="B277" s="27">
        <v>40920</v>
      </c>
      <c r="C277" s="28" t="s">
        <v>333</v>
      </c>
      <c r="D277" s="27">
        <v>40980</v>
      </c>
      <c r="E277" s="29">
        <v>4092.75</v>
      </c>
      <c r="F277" s="29" t="s">
        <v>16</v>
      </c>
      <c r="G277" s="29" t="s">
        <v>61</v>
      </c>
      <c r="H277" s="29" t="s">
        <v>127</v>
      </c>
      <c r="I277" s="24"/>
      <c r="J277" s="24"/>
    </row>
    <row r="278" spans="1:10">
      <c r="A278" s="26">
        <v>1228</v>
      </c>
      <c r="B278" s="27">
        <v>40930</v>
      </c>
      <c r="C278" s="28" t="s">
        <v>334</v>
      </c>
      <c r="D278" s="27">
        <v>40990</v>
      </c>
      <c r="E278" s="29">
        <v>4092.75</v>
      </c>
      <c r="F278" s="29" t="s">
        <v>16</v>
      </c>
      <c r="G278" s="29" t="s">
        <v>61</v>
      </c>
      <c r="H278" s="29" t="s">
        <v>127</v>
      </c>
      <c r="I278" s="24"/>
      <c r="J278" s="24"/>
    </row>
    <row r="279" spans="1:10">
      <c r="A279" s="26">
        <v>1229</v>
      </c>
      <c r="B279" s="27">
        <v>40781</v>
      </c>
      <c r="C279" s="28">
        <v>36240</v>
      </c>
      <c r="D279" s="27">
        <v>40811</v>
      </c>
      <c r="E279" s="29">
        <v>101115</v>
      </c>
      <c r="F279" s="29" t="s">
        <v>32</v>
      </c>
      <c r="G279" s="29" t="s">
        <v>61</v>
      </c>
      <c r="H279" s="29" t="s">
        <v>127</v>
      </c>
      <c r="I279" s="24"/>
      <c r="J279" s="24"/>
    </row>
    <row r="280" spans="1:10">
      <c r="A280" s="26">
        <v>1230</v>
      </c>
      <c r="B280" s="27">
        <v>40781</v>
      </c>
      <c r="C280" s="28">
        <v>36239</v>
      </c>
      <c r="D280" s="27">
        <v>40811</v>
      </c>
      <c r="E280" s="29">
        <v>3500</v>
      </c>
      <c r="F280" s="29" t="s">
        <v>32</v>
      </c>
      <c r="G280" s="29" t="s">
        <v>61</v>
      </c>
      <c r="H280" s="29" t="s">
        <v>127</v>
      </c>
      <c r="I280" s="24"/>
      <c r="J280" s="24"/>
    </row>
    <row r="281" spans="1:10">
      <c r="A281" s="26">
        <v>1231</v>
      </c>
      <c r="B281" s="27">
        <v>40781</v>
      </c>
      <c r="C281" s="28">
        <v>36241</v>
      </c>
      <c r="D281" s="27">
        <v>40811</v>
      </c>
      <c r="E281" s="29">
        <v>15194</v>
      </c>
      <c r="F281" s="29" t="s">
        <v>32</v>
      </c>
      <c r="G281" s="29" t="s">
        <v>61</v>
      </c>
      <c r="H281" s="29" t="s">
        <v>127</v>
      </c>
      <c r="I281" s="24"/>
      <c r="J281" s="24"/>
    </row>
    <row r="282" spans="1:10">
      <c r="A282" s="26">
        <v>1232</v>
      </c>
      <c r="B282" s="27">
        <v>40787</v>
      </c>
      <c r="C282" s="28">
        <v>36350</v>
      </c>
      <c r="D282" s="27">
        <v>40817</v>
      </c>
      <c r="E282" s="29">
        <v>30495</v>
      </c>
      <c r="F282" s="29" t="s">
        <v>32</v>
      </c>
      <c r="G282" s="29" t="s">
        <v>61</v>
      </c>
      <c r="H282" s="29" t="s">
        <v>127</v>
      </c>
      <c r="I282" s="24"/>
      <c r="J282" s="24"/>
    </row>
    <row r="283" spans="1:10">
      <c r="A283" s="26">
        <v>1233</v>
      </c>
      <c r="B283" s="27">
        <v>40806</v>
      </c>
      <c r="C283" s="28">
        <v>36648</v>
      </c>
      <c r="D283" s="27">
        <v>40836</v>
      </c>
      <c r="E283" s="29">
        <v>39579.300000000003</v>
      </c>
      <c r="F283" s="29" t="s">
        <v>32</v>
      </c>
      <c r="G283" s="29" t="s">
        <v>61</v>
      </c>
      <c r="H283" s="29" t="s">
        <v>127</v>
      </c>
      <c r="I283" s="24"/>
      <c r="J283" s="24"/>
    </row>
    <row r="284" spans="1:10">
      <c r="A284" s="26">
        <v>1234</v>
      </c>
      <c r="B284" s="27">
        <v>40820</v>
      </c>
      <c r="C284" s="28">
        <v>37017</v>
      </c>
      <c r="D284" s="27">
        <v>40850</v>
      </c>
      <c r="E284" s="29">
        <v>13965.64</v>
      </c>
      <c r="F284" s="29" t="s">
        <v>32</v>
      </c>
      <c r="G284" s="29" t="s">
        <v>61</v>
      </c>
      <c r="H284" s="29" t="s">
        <v>127</v>
      </c>
      <c r="I284" s="24"/>
      <c r="J284" s="24"/>
    </row>
    <row r="285" spans="1:10">
      <c r="A285" s="26">
        <v>1235</v>
      </c>
      <c r="B285" s="27">
        <v>40799</v>
      </c>
      <c r="C285" s="28">
        <v>36499</v>
      </c>
      <c r="D285" s="27">
        <v>40829</v>
      </c>
      <c r="E285" s="29">
        <v>209185</v>
      </c>
      <c r="F285" s="29" t="s">
        <v>32</v>
      </c>
      <c r="G285" s="29" t="s">
        <v>62</v>
      </c>
      <c r="H285" s="29" t="s">
        <v>127</v>
      </c>
      <c r="I285" s="24"/>
      <c r="J285" s="24"/>
    </row>
    <row r="286" spans="1:10">
      <c r="A286" s="26">
        <v>1237</v>
      </c>
      <c r="B286" s="27">
        <v>40830</v>
      </c>
      <c r="C286" s="28">
        <v>37167</v>
      </c>
      <c r="D286" s="27">
        <v>40860</v>
      </c>
      <c r="E286" s="29">
        <v>269533</v>
      </c>
      <c r="F286" s="29" t="s">
        <v>32</v>
      </c>
      <c r="G286" s="29" t="s">
        <v>62</v>
      </c>
      <c r="H286" s="29" t="s">
        <v>127</v>
      </c>
      <c r="I286" s="24"/>
      <c r="J286" s="24"/>
    </row>
    <row r="287" spans="1:10">
      <c r="A287" s="26">
        <v>1238</v>
      </c>
      <c r="B287" s="27">
        <v>40859</v>
      </c>
      <c r="C287" s="28">
        <v>37272</v>
      </c>
      <c r="D287" s="27">
        <v>40877</v>
      </c>
      <c r="E287" s="29">
        <v>228621.02</v>
      </c>
      <c r="F287" s="29" t="s">
        <v>32</v>
      </c>
      <c r="G287" s="29" t="s">
        <v>62</v>
      </c>
      <c r="H287" s="29" t="s">
        <v>127</v>
      </c>
      <c r="I287" s="24"/>
      <c r="J287" s="24"/>
    </row>
    <row r="288" spans="1:10">
      <c r="A288" s="26">
        <v>1239</v>
      </c>
      <c r="B288" s="27">
        <v>40830</v>
      </c>
      <c r="C288" s="28" t="s">
        <v>335</v>
      </c>
      <c r="D288" s="27">
        <v>40860</v>
      </c>
      <c r="E288" s="29">
        <v>10000</v>
      </c>
      <c r="F288" s="29" t="s">
        <v>32</v>
      </c>
      <c r="G288" s="29" t="s">
        <v>62</v>
      </c>
      <c r="H288" s="29" t="s">
        <v>127</v>
      </c>
      <c r="I288" s="24"/>
      <c r="J288" s="24"/>
    </row>
    <row r="289" spans="9:10">
      <c r="I289" s="24"/>
      <c r="J289" s="24"/>
    </row>
    <row r="290" spans="9:10">
      <c r="I290" s="24"/>
      <c r="J290" s="24"/>
    </row>
    <row r="291" spans="9:10">
      <c r="I291" s="24"/>
      <c r="J291" s="24"/>
    </row>
    <row r="292" spans="9:10">
      <c r="I292" s="24"/>
      <c r="J292" s="24"/>
    </row>
    <row r="293" spans="9:10">
      <c r="I293" s="24"/>
      <c r="J293" s="24"/>
    </row>
    <row r="294" spans="9:10">
      <c r="I294" s="24"/>
      <c r="J294" s="24"/>
    </row>
    <row r="295" spans="9:10">
      <c r="I295" s="24"/>
      <c r="J295" s="24"/>
    </row>
  </sheetData>
  <mergeCells count="1">
    <mergeCell ref="A1:H1"/>
  </mergeCells>
  <pageMargins left="0.7" right="0.7" top="0.75" bottom="0.75" header="0.3" footer="0.3"/>
  <pageSetup paperSize="9" orientation="portrait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IV2"/>
  <sheetViews>
    <sheetView workbookViewId="0">
      <selection activeCell="A2" sqref="A2"/>
    </sheetView>
  </sheetViews>
  <sheetFormatPr defaultRowHeight="15"/>
  <sheetData>
    <row r="1" spans="1:256">
      <c r="A1" t="e">
        <f>IF(#REF!,"AAAAAD3dfQA=",0)</f>
        <v>#REF!</v>
      </c>
      <c r="B1" t="e">
        <f>AND(#REF!,"AAAAAD3dfQE=")</f>
        <v>#REF!</v>
      </c>
      <c r="C1" t="e">
        <f>AND(#REF!,"AAAAAD3dfQI=")</f>
        <v>#REF!</v>
      </c>
      <c r="D1" t="e">
        <f>AND(#REF!,"AAAAAD3dfQM=")</f>
        <v>#REF!</v>
      </c>
      <c r="E1" t="e">
        <f>AND(#REF!,"AAAAAD3dfQQ=")</f>
        <v>#REF!</v>
      </c>
      <c r="F1" t="e">
        <f>AND(#REF!,"AAAAAD3dfQU=")</f>
        <v>#REF!</v>
      </c>
      <c r="G1" t="e">
        <f>AND(#REF!,"AAAAAD3dfQY=")</f>
        <v>#REF!</v>
      </c>
      <c r="H1" t="e">
        <f>IF(#REF!,"AAAAAD3dfQc=",0)</f>
        <v>#REF!</v>
      </c>
      <c r="I1" t="e">
        <f>AND(#REF!,"AAAAAD3dfQg=")</f>
        <v>#REF!</v>
      </c>
      <c r="J1" t="e">
        <f>AND(#REF!,"AAAAAD3dfQk=")</f>
        <v>#REF!</v>
      </c>
      <c r="K1" t="e">
        <f>AND(#REF!,"AAAAAD3dfQo=")</f>
        <v>#REF!</v>
      </c>
      <c r="L1" t="e">
        <f>AND(#REF!,"AAAAAD3dfQs=")</f>
        <v>#REF!</v>
      </c>
      <c r="M1" t="e">
        <f>AND(#REF!,"AAAAAD3dfQw=")</f>
        <v>#REF!</v>
      </c>
      <c r="N1" t="e">
        <f>AND(#REF!,"AAAAAD3dfQ0=")</f>
        <v>#REF!</v>
      </c>
      <c r="O1" t="e">
        <f>IF(#REF!,"AAAAAD3dfQ4=",0)</f>
        <v>#REF!</v>
      </c>
      <c r="P1" t="e">
        <f>AND(#REF!,"AAAAAD3dfQ8=")</f>
        <v>#REF!</v>
      </c>
      <c r="Q1" t="e">
        <f>AND(#REF!,"AAAAAD3dfRA=")</f>
        <v>#REF!</v>
      </c>
      <c r="R1" t="e">
        <f>AND(#REF!,"AAAAAD3dfRE=")</f>
        <v>#REF!</v>
      </c>
      <c r="S1" t="e">
        <f>AND(#REF!,"AAAAAD3dfRI=")</f>
        <v>#REF!</v>
      </c>
      <c r="T1" t="e">
        <f>AND(#REF!,"AAAAAD3dfRM=")</f>
        <v>#REF!</v>
      </c>
      <c r="U1" t="e">
        <f>AND(#REF!,"AAAAAD3dfRQ=")</f>
        <v>#REF!</v>
      </c>
      <c r="V1" t="e">
        <f>IF(#REF!,"AAAAAD3dfRU=",0)</f>
        <v>#REF!</v>
      </c>
      <c r="W1" t="e">
        <f>AND(#REF!,"AAAAAD3dfRY=")</f>
        <v>#REF!</v>
      </c>
      <c r="X1" t="e">
        <f>AND(#REF!,"AAAAAD3dfRc=")</f>
        <v>#REF!</v>
      </c>
      <c r="Y1" t="e">
        <f>AND(#REF!,"AAAAAD3dfRg=")</f>
        <v>#REF!</v>
      </c>
      <c r="Z1" t="e">
        <f>AND(#REF!,"AAAAAD3dfRk=")</f>
        <v>#REF!</v>
      </c>
      <c r="AA1" t="e">
        <f>AND(#REF!,"AAAAAD3dfRo=")</f>
        <v>#REF!</v>
      </c>
      <c r="AB1" t="e">
        <f>AND(#REF!,"AAAAAD3dfRs=")</f>
        <v>#REF!</v>
      </c>
      <c r="AC1" t="e">
        <f>IF(#REF!,"AAAAAD3dfRw=",0)</f>
        <v>#REF!</v>
      </c>
      <c r="AD1" t="e">
        <f>AND(#REF!,"AAAAAD3dfR0=")</f>
        <v>#REF!</v>
      </c>
      <c r="AE1" t="e">
        <f>AND(#REF!,"AAAAAD3dfR4=")</f>
        <v>#REF!</v>
      </c>
      <c r="AF1" t="e">
        <f>AND(#REF!,"AAAAAD3dfR8=")</f>
        <v>#REF!</v>
      </c>
      <c r="AG1" t="e">
        <f>AND(#REF!,"AAAAAD3dfSA=")</f>
        <v>#REF!</v>
      </c>
      <c r="AH1" t="e">
        <f>AND(#REF!,"AAAAAD3dfSE=")</f>
        <v>#REF!</v>
      </c>
      <c r="AI1" t="e">
        <f>AND(#REF!,"AAAAAD3dfSI=")</f>
        <v>#REF!</v>
      </c>
      <c r="AJ1" t="e">
        <f>IF(#REF!,"AAAAAD3dfSM=",0)</f>
        <v>#REF!</v>
      </c>
      <c r="AK1" t="e">
        <f>AND(#REF!,"AAAAAD3dfSQ=")</f>
        <v>#REF!</v>
      </c>
      <c r="AL1" t="e">
        <f>AND(#REF!,"AAAAAD3dfSU=")</f>
        <v>#REF!</v>
      </c>
      <c r="AM1" t="e">
        <f>AND(#REF!,"AAAAAD3dfSY=")</f>
        <v>#REF!</v>
      </c>
      <c r="AN1" t="e">
        <f>AND(#REF!,"AAAAAD3dfSc=")</f>
        <v>#REF!</v>
      </c>
      <c r="AO1" t="e">
        <f>AND(#REF!,"AAAAAD3dfSg=")</f>
        <v>#REF!</v>
      </c>
      <c r="AP1" t="e">
        <f>AND(#REF!,"AAAAAD3dfSk=")</f>
        <v>#REF!</v>
      </c>
      <c r="AQ1" t="e">
        <f>IF(#REF!,"AAAAAD3dfSo=",0)</f>
        <v>#REF!</v>
      </c>
      <c r="AR1" t="e">
        <f>AND(#REF!,"AAAAAD3dfSs=")</f>
        <v>#REF!</v>
      </c>
      <c r="AS1" t="e">
        <f>AND(#REF!,"AAAAAD3dfSw=")</f>
        <v>#REF!</v>
      </c>
      <c r="AT1" t="e">
        <f>AND(#REF!,"AAAAAD3dfS0=")</f>
        <v>#REF!</v>
      </c>
      <c r="AU1" t="e">
        <f>AND(#REF!,"AAAAAD3dfS4=")</f>
        <v>#REF!</v>
      </c>
      <c r="AV1" t="e">
        <f>AND(#REF!,"AAAAAD3dfS8=")</f>
        <v>#REF!</v>
      </c>
      <c r="AW1" t="e">
        <f>AND(#REF!,"AAAAAD3dfTA=")</f>
        <v>#REF!</v>
      </c>
      <c r="AX1" t="e">
        <f>IF(#REF!,"AAAAAD3dfTE=",0)</f>
        <v>#REF!</v>
      </c>
      <c r="AY1" t="e">
        <f>AND(#REF!,"AAAAAD3dfTI=")</f>
        <v>#REF!</v>
      </c>
      <c r="AZ1" t="e">
        <f>AND(#REF!,"AAAAAD3dfTM=")</f>
        <v>#REF!</v>
      </c>
      <c r="BA1" t="e">
        <f>AND(#REF!,"AAAAAD3dfTQ=")</f>
        <v>#REF!</v>
      </c>
      <c r="BB1" t="e">
        <f>AND(#REF!,"AAAAAD3dfTU=")</f>
        <v>#REF!</v>
      </c>
      <c r="BC1" t="e">
        <f>AND(#REF!,"AAAAAD3dfTY=")</f>
        <v>#REF!</v>
      </c>
      <c r="BD1" t="e">
        <f>AND(#REF!,"AAAAAD3dfTc=")</f>
        <v>#REF!</v>
      </c>
      <c r="BE1" t="e">
        <f>IF(#REF!,"AAAAAD3dfTg=",0)</f>
        <v>#REF!</v>
      </c>
      <c r="BF1" t="e">
        <f>AND(#REF!,"AAAAAD3dfTk=")</f>
        <v>#REF!</v>
      </c>
      <c r="BG1" t="e">
        <f>AND(#REF!,"AAAAAD3dfTo=")</f>
        <v>#REF!</v>
      </c>
      <c r="BH1" t="e">
        <f>AND(#REF!,"AAAAAD3dfTs=")</f>
        <v>#REF!</v>
      </c>
      <c r="BI1" t="e">
        <f>AND(#REF!,"AAAAAD3dfTw=")</f>
        <v>#REF!</v>
      </c>
      <c r="BJ1" t="e">
        <f>AND(#REF!,"AAAAAD3dfT0=")</f>
        <v>#REF!</v>
      </c>
      <c r="BK1" t="e">
        <f>AND(#REF!,"AAAAAD3dfT4=")</f>
        <v>#REF!</v>
      </c>
      <c r="BL1" t="e">
        <f>IF(#REF!,"AAAAAD3dfT8=",0)</f>
        <v>#REF!</v>
      </c>
      <c r="BM1" t="e">
        <f>AND(#REF!,"AAAAAD3dfUA=")</f>
        <v>#REF!</v>
      </c>
      <c r="BN1" t="e">
        <f>AND(#REF!,"AAAAAD3dfUE=")</f>
        <v>#REF!</v>
      </c>
      <c r="BO1" t="e">
        <f>AND(#REF!,"AAAAAD3dfUI=")</f>
        <v>#REF!</v>
      </c>
      <c r="BP1" t="e">
        <f>AND(#REF!,"AAAAAD3dfUM=")</f>
        <v>#REF!</v>
      </c>
      <c r="BQ1" t="e">
        <f>AND(#REF!,"AAAAAD3dfUQ=")</f>
        <v>#REF!</v>
      </c>
      <c r="BR1" t="e">
        <f>AND(#REF!,"AAAAAD3dfUU=")</f>
        <v>#REF!</v>
      </c>
      <c r="BS1" t="e">
        <f>IF(#REF!,"AAAAAD3dfUY=",0)</f>
        <v>#REF!</v>
      </c>
      <c r="BT1" t="e">
        <f>AND(#REF!,"AAAAAD3dfUc=")</f>
        <v>#REF!</v>
      </c>
      <c r="BU1" t="e">
        <f>AND(#REF!,"AAAAAD3dfUg=")</f>
        <v>#REF!</v>
      </c>
      <c r="BV1" t="e">
        <f>AND(#REF!,"AAAAAD3dfUk=")</f>
        <v>#REF!</v>
      </c>
      <c r="BW1" t="e">
        <f>AND(#REF!,"AAAAAD3dfUo=")</f>
        <v>#REF!</v>
      </c>
      <c r="BX1" t="e">
        <f>AND(#REF!,"AAAAAD3dfUs=")</f>
        <v>#REF!</v>
      </c>
      <c r="BY1" t="e">
        <f>AND(#REF!,"AAAAAD3dfUw=")</f>
        <v>#REF!</v>
      </c>
      <c r="BZ1" t="e">
        <f>IF(#REF!,"AAAAAD3dfU0=",0)</f>
        <v>#REF!</v>
      </c>
      <c r="CA1" t="e">
        <f>AND(#REF!,"AAAAAD3dfU4=")</f>
        <v>#REF!</v>
      </c>
      <c r="CB1" t="e">
        <f>IF(#REF!,"AAAAAD3dfU8=",0)</f>
        <v>#REF!</v>
      </c>
      <c r="CC1" t="e">
        <f>AND(#REF!,"AAAAAD3dfVA=")</f>
        <v>#REF!</v>
      </c>
      <c r="CD1" t="e">
        <f>IF(#REF!,"AAAAAD3dfVE=",0)</f>
        <v>#REF!</v>
      </c>
      <c r="CE1" t="e">
        <f>AND(#REF!,"AAAAAD3dfVI=")</f>
        <v>#REF!</v>
      </c>
      <c r="CF1" t="e">
        <f>IF(#REF!,"AAAAAD3dfVM=",0)</f>
        <v>#REF!</v>
      </c>
      <c r="CG1" t="e">
        <f>AND(#REF!,"AAAAAD3dfVQ=")</f>
        <v>#REF!</v>
      </c>
      <c r="CH1" t="e">
        <f>IF(#REF!,"AAAAAD3dfVU=",0)</f>
        <v>#REF!</v>
      </c>
      <c r="CI1" t="e">
        <f>AND(#REF!,"AAAAAD3dfVY=")</f>
        <v>#REF!</v>
      </c>
      <c r="CJ1" t="e">
        <f>IF(#REF!,"AAAAAD3dfVc=",0)</f>
        <v>#REF!</v>
      </c>
      <c r="CK1" t="e">
        <f>AND(#REF!,"AAAAAD3dfVg=")</f>
        <v>#REF!</v>
      </c>
      <c r="CL1" t="e">
        <f>IF(#REF!,"AAAAAD3dfVk=",0)</f>
        <v>#REF!</v>
      </c>
      <c r="CM1" t="e">
        <f>AND(#REF!,"AAAAAD3dfVo=")</f>
        <v>#REF!</v>
      </c>
      <c r="CN1" t="e">
        <f>IF(#REF!,"AAAAAD3dfVs=",0)</f>
        <v>#REF!</v>
      </c>
      <c r="CO1" t="e">
        <f>AND(#REF!,"AAAAAD3dfVw=")</f>
        <v>#REF!</v>
      </c>
      <c r="CP1" t="e">
        <f>IF(#REF!,"AAAAAD3dfV0=",0)</f>
        <v>#REF!</v>
      </c>
      <c r="CQ1" t="e">
        <f>AND(#REF!,"AAAAAD3dfV4=")</f>
        <v>#REF!</v>
      </c>
      <c r="CR1" t="e">
        <f>IF(#REF!,"AAAAAD3dfV8=",0)</f>
        <v>#REF!</v>
      </c>
      <c r="CS1" t="e">
        <f>AND(#REF!,"AAAAAD3dfWA=")</f>
        <v>#REF!</v>
      </c>
      <c r="CT1" t="e">
        <f>IF(#REF!,"AAAAAD3dfWE=",0)</f>
        <v>#REF!</v>
      </c>
      <c r="CU1" t="e">
        <f>AND(#REF!,"AAAAAD3dfWI=")</f>
        <v>#REF!</v>
      </c>
      <c r="CV1" t="e">
        <f>IF(#REF!,"AAAAAD3dfWM=",0)</f>
        <v>#REF!</v>
      </c>
      <c r="CW1" t="e">
        <f>AND(#REF!,"AAAAAD3dfWQ=")</f>
        <v>#REF!</v>
      </c>
      <c r="CX1" t="e">
        <f>IF(#REF!,"AAAAAD3dfWU=",0)</f>
        <v>#REF!</v>
      </c>
      <c r="CY1" t="e">
        <f>AND(#REF!,"AAAAAD3dfWY=")</f>
        <v>#REF!</v>
      </c>
      <c r="CZ1" t="e">
        <f>IF(#REF!,"AAAAAD3dfWc=",0)</f>
        <v>#REF!</v>
      </c>
      <c r="DA1" t="e">
        <f>AND(#REF!,"AAAAAD3dfWg=")</f>
        <v>#REF!</v>
      </c>
      <c r="DB1" t="e">
        <f>IF(#REF!,"AAAAAD3dfWk=",0)</f>
        <v>#REF!</v>
      </c>
      <c r="DC1" t="e">
        <f>AND(#REF!,"AAAAAD3dfWo=")</f>
        <v>#REF!</v>
      </c>
      <c r="DD1" t="e">
        <f>IF(#REF!,"AAAAAD3dfWs=",0)</f>
        <v>#REF!</v>
      </c>
      <c r="DE1" t="e">
        <f>AND(#REF!,"AAAAAD3dfWw=")</f>
        <v>#REF!</v>
      </c>
      <c r="DF1" t="e">
        <f>IF(#REF!,"AAAAAD3dfW0=",0)</f>
        <v>#REF!</v>
      </c>
      <c r="DG1" t="e">
        <f>AND(#REF!,"AAAAAD3dfW4=")</f>
        <v>#REF!</v>
      </c>
      <c r="DH1" t="e">
        <f>IF(#REF!,"AAAAAD3dfW8=",0)</f>
        <v>#REF!</v>
      </c>
      <c r="DI1" t="e">
        <f>AND(#REF!,"AAAAAD3dfXA=")</f>
        <v>#REF!</v>
      </c>
      <c r="DJ1" t="e">
        <f>IF(#REF!,"AAAAAD3dfXE=",0)</f>
        <v>#REF!</v>
      </c>
      <c r="DK1" t="e">
        <f>AND(#REF!,"AAAAAD3dfXI=")</f>
        <v>#REF!</v>
      </c>
      <c r="DL1" t="e">
        <f>IF(#REF!,"AAAAAD3dfXM=",0)</f>
        <v>#REF!</v>
      </c>
      <c r="DM1" t="e">
        <f>AND(#REF!,"AAAAAD3dfXQ=")</f>
        <v>#REF!</v>
      </c>
      <c r="DN1" t="e">
        <f>IF(#REF!,"AAAAAD3dfXU=",0)</f>
        <v>#REF!</v>
      </c>
      <c r="DO1" t="e">
        <f>AND(#REF!,"AAAAAD3dfXY=")</f>
        <v>#REF!</v>
      </c>
      <c r="DP1" t="e">
        <f>IF(#REF!,"AAAAAD3dfXc=",0)</f>
        <v>#REF!</v>
      </c>
      <c r="DQ1" t="e">
        <f>AND(#REF!,"AAAAAD3dfXg=")</f>
        <v>#REF!</v>
      </c>
      <c r="DR1" t="e">
        <f>IF(#REF!,"AAAAAD3dfXk=",0)</f>
        <v>#REF!</v>
      </c>
      <c r="DS1" t="e">
        <f>AND(#REF!,"AAAAAD3dfXo=")</f>
        <v>#REF!</v>
      </c>
      <c r="DT1" t="e">
        <f>IF(#REF!,"AAAAAD3dfXs=",0)</f>
        <v>#REF!</v>
      </c>
      <c r="DU1" t="e">
        <f>AND(#REF!,"AAAAAD3dfXw=")</f>
        <v>#REF!</v>
      </c>
      <c r="DV1" t="e">
        <f>IF(#REF!,"AAAAAD3dfX0=",0)</f>
        <v>#REF!</v>
      </c>
      <c r="DW1" t="e">
        <f>AND(#REF!,"AAAAAD3dfX4=")</f>
        <v>#REF!</v>
      </c>
      <c r="DX1" t="e">
        <f>IF(#REF!,"AAAAAD3dfX8=",0)</f>
        <v>#REF!</v>
      </c>
      <c r="DY1" t="e">
        <f>AND(#REF!,"AAAAAD3dfYA=")</f>
        <v>#REF!</v>
      </c>
      <c r="DZ1" t="e">
        <f>IF(#REF!,"AAAAAD3dfYE=",0)</f>
        <v>#REF!</v>
      </c>
      <c r="EA1" t="e">
        <f>AND(#REF!,"AAAAAD3dfYI=")</f>
        <v>#REF!</v>
      </c>
      <c r="EB1" t="e">
        <f>IF(#REF!,"AAAAAD3dfYM=",0)</f>
        <v>#REF!</v>
      </c>
      <c r="EC1" t="e">
        <f>AND(#REF!,"AAAAAD3dfYQ=")</f>
        <v>#REF!</v>
      </c>
      <c r="ED1" t="e">
        <f>IF(#REF!,"AAAAAD3dfYU=",0)</f>
        <v>#REF!</v>
      </c>
      <c r="EE1" t="e">
        <f>AND(#REF!,"AAAAAD3dfYY=")</f>
        <v>#REF!</v>
      </c>
      <c r="EF1" t="e">
        <f>IF(#REF!,"AAAAAD3dfYc=",0)</f>
        <v>#REF!</v>
      </c>
      <c r="EG1" t="e">
        <f>AND(#REF!,"AAAAAD3dfYg=")</f>
        <v>#REF!</v>
      </c>
      <c r="EH1" t="e">
        <f>IF(#REF!,"AAAAAD3dfYk=",0)</f>
        <v>#REF!</v>
      </c>
      <c r="EI1" t="e">
        <f>AND(#REF!,"AAAAAD3dfYo=")</f>
        <v>#REF!</v>
      </c>
      <c r="EJ1" t="e">
        <f>IF(#REF!,"AAAAAD3dfYs=",0)</f>
        <v>#REF!</v>
      </c>
      <c r="EK1" t="e">
        <f>AND(#REF!,"AAAAAD3dfYw=")</f>
        <v>#REF!</v>
      </c>
      <c r="EL1" t="e">
        <f>IF(#REF!,"AAAAAD3dfY0=",0)</f>
        <v>#REF!</v>
      </c>
      <c r="EM1" t="e">
        <f>AND(#REF!,"AAAAAD3dfY4=")</f>
        <v>#REF!</v>
      </c>
      <c r="EN1" t="e">
        <f>IF(#REF!,"AAAAAD3dfY8=",0)</f>
        <v>#REF!</v>
      </c>
      <c r="EO1" t="e">
        <f>AND(#REF!,"AAAAAD3dfZA=")</f>
        <v>#REF!</v>
      </c>
      <c r="EP1" t="e">
        <f>IF(#REF!,"AAAAAD3dfZE=",0)</f>
        <v>#REF!</v>
      </c>
      <c r="EQ1" t="e">
        <f>AND(#REF!,"AAAAAD3dfZI=")</f>
        <v>#REF!</v>
      </c>
      <c r="ER1" t="e">
        <f>IF(#REF!,"AAAAAD3dfZM=",0)</f>
        <v>#REF!</v>
      </c>
      <c r="ES1" t="e">
        <f>AND(#REF!,"AAAAAD3dfZQ=")</f>
        <v>#REF!</v>
      </c>
      <c r="ET1" t="e">
        <f>IF(#REF!,"AAAAAD3dfZU=",0)</f>
        <v>#REF!</v>
      </c>
      <c r="EU1" t="e">
        <f>AND(#REF!,"AAAAAD3dfZY=")</f>
        <v>#REF!</v>
      </c>
      <c r="EV1" t="e">
        <f>IF(#REF!,"AAAAAD3dfZc=",0)</f>
        <v>#REF!</v>
      </c>
      <c r="EW1" t="e">
        <f>AND(#REF!,"AAAAAD3dfZg=")</f>
        <v>#REF!</v>
      </c>
      <c r="EX1" t="e">
        <f>IF(#REF!,"AAAAAD3dfZk=",0)</f>
        <v>#REF!</v>
      </c>
      <c r="EY1" t="e">
        <f>AND(#REF!,"AAAAAD3dfZo=")</f>
        <v>#REF!</v>
      </c>
      <c r="EZ1" t="e">
        <f>IF(#REF!,"AAAAAD3dfZs=",0)</f>
        <v>#REF!</v>
      </c>
      <c r="FA1" t="e">
        <f>IF(#REF!,"AAAAAD3dfZw=",0)</f>
        <v>#REF!</v>
      </c>
      <c r="FB1" t="e">
        <f>IF(#REF!,"AAAAAD3dfZ0=",0)</f>
        <v>#REF!</v>
      </c>
      <c r="FC1" t="e">
        <f>IF(#REF!,"AAAAAD3dfZ4=",0)</f>
        <v>#REF!</v>
      </c>
      <c r="FD1" t="e">
        <f>IF(#REF!,"AAAAAD3dfZ8=",0)</f>
        <v>#REF!</v>
      </c>
      <c r="FE1" t="e">
        <f>IF(#REF!,"AAAAAD3dfaA=",0)</f>
        <v>#REF!</v>
      </c>
      <c r="FF1" t="e">
        <f>IF(#REF!,"AAAAAD3dfaE=",0)</f>
        <v>#REF!</v>
      </c>
      <c r="FG1" t="e">
        <f>AND(#REF!,"AAAAAD3dfaI=")</f>
        <v>#REF!</v>
      </c>
      <c r="FH1" t="e">
        <f>AND(#REF!,"AAAAAD3dfaM=")</f>
        <v>#REF!</v>
      </c>
      <c r="FI1" t="e">
        <f>AND(#REF!,"AAAAAD3dfaQ=")</f>
        <v>#REF!</v>
      </c>
      <c r="FJ1" t="e">
        <f>AND(#REF!,"AAAAAD3dfaU=")</f>
        <v>#REF!</v>
      </c>
      <c r="FK1" t="e">
        <f>IF(#REF!,"AAAAAD3dfaY=",0)</f>
        <v>#REF!</v>
      </c>
      <c r="FL1" t="e">
        <f>AND(#REF!,"AAAAAD3dfac=")</f>
        <v>#REF!</v>
      </c>
      <c r="FM1" t="e">
        <f>AND(#REF!,"AAAAAD3dfag=")</f>
        <v>#REF!</v>
      </c>
      <c r="FN1" t="e">
        <f>AND(#REF!,"AAAAAD3dfak=")</f>
        <v>#REF!</v>
      </c>
      <c r="FO1" t="e">
        <f>AND(#REF!,"AAAAAD3dfao=")</f>
        <v>#REF!</v>
      </c>
      <c r="FP1" t="e">
        <f>IF(#REF!,"AAAAAD3dfas=",0)</f>
        <v>#REF!</v>
      </c>
      <c r="FQ1" t="e">
        <f>AND(#REF!,"AAAAAD3dfaw=")</f>
        <v>#REF!</v>
      </c>
      <c r="FR1" t="e">
        <f>AND(#REF!,"AAAAAD3dfa0=")</f>
        <v>#REF!</v>
      </c>
      <c r="FS1" t="e">
        <f>AND(#REF!,"AAAAAD3dfa4=")</f>
        <v>#REF!</v>
      </c>
      <c r="FT1" t="e">
        <f>AND(#REF!,"AAAAAD3dfa8=")</f>
        <v>#REF!</v>
      </c>
      <c r="FU1" t="e">
        <f>IF(#REF!,"AAAAAD3dfbA=",0)</f>
        <v>#REF!</v>
      </c>
      <c r="FV1" t="e">
        <f>AND(#REF!,"AAAAAD3dfbE=")</f>
        <v>#REF!</v>
      </c>
      <c r="FW1" t="e">
        <f>AND(#REF!,"AAAAAD3dfbI=")</f>
        <v>#REF!</v>
      </c>
      <c r="FX1" t="e">
        <f>AND(#REF!,"AAAAAD3dfbM=")</f>
        <v>#REF!</v>
      </c>
      <c r="FY1" t="e">
        <f>AND(#REF!,"AAAAAD3dfbQ=")</f>
        <v>#REF!</v>
      </c>
      <c r="FZ1" t="e">
        <f>IF(#REF!,"AAAAAD3dfbU=",0)</f>
        <v>#REF!</v>
      </c>
      <c r="GA1" t="e">
        <f>AND(#REF!,"AAAAAD3dfbY=")</f>
        <v>#REF!</v>
      </c>
      <c r="GB1" t="e">
        <f>AND(#REF!,"AAAAAD3dfbc=")</f>
        <v>#REF!</v>
      </c>
      <c r="GC1" t="e">
        <f>AND(#REF!,"AAAAAD3dfbg=")</f>
        <v>#REF!</v>
      </c>
      <c r="GD1" t="e">
        <f>AND(#REF!,"AAAAAD3dfbk=")</f>
        <v>#REF!</v>
      </c>
      <c r="GE1" t="e">
        <f>IF(#REF!,"AAAAAD3dfbo=",0)</f>
        <v>#REF!</v>
      </c>
      <c r="GF1" t="e">
        <f>AND(#REF!,"AAAAAD3dfbs=")</f>
        <v>#REF!</v>
      </c>
      <c r="GG1" t="e">
        <f>AND(#REF!,"AAAAAD3dfbw=")</f>
        <v>#REF!</v>
      </c>
      <c r="GH1" t="e">
        <f>AND(#REF!,"AAAAAD3dfb0=")</f>
        <v>#REF!</v>
      </c>
      <c r="GI1" t="e">
        <f>AND(#REF!,"AAAAAD3dfb4=")</f>
        <v>#REF!</v>
      </c>
      <c r="GJ1" t="e">
        <f>IF(#REF!,"AAAAAD3dfb8=",0)</f>
        <v>#REF!</v>
      </c>
      <c r="GK1" t="e">
        <f>AND(#REF!,"AAAAAD3dfcA=")</f>
        <v>#REF!</v>
      </c>
      <c r="GL1" t="e">
        <f>AND(#REF!,"AAAAAD3dfcE=")</f>
        <v>#REF!</v>
      </c>
      <c r="GM1" t="e">
        <f>AND(#REF!,"AAAAAD3dfcI=")</f>
        <v>#REF!</v>
      </c>
      <c r="GN1" t="e">
        <f>AND(#REF!,"AAAAAD3dfcM=")</f>
        <v>#REF!</v>
      </c>
      <c r="GO1" t="e">
        <f>IF(#REF!,"AAAAAD3dfcQ=",0)</f>
        <v>#REF!</v>
      </c>
      <c r="GP1" t="e">
        <f>AND(#REF!,"AAAAAD3dfcU=")</f>
        <v>#REF!</v>
      </c>
      <c r="GQ1" t="e">
        <f>AND(#REF!,"AAAAAD3dfcY=")</f>
        <v>#REF!</v>
      </c>
      <c r="GR1" t="e">
        <f>AND(#REF!,"AAAAAD3dfcc=")</f>
        <v>#REF!</v>
      </c>
      <c r="GS1" t="e">
        <f>AND(#REF!,"AAAAAD3dfcg=")</f>
        <v>#REF!</v>
      </c>
      <c r="GT1" t="e">
        <f>IF(#REF!,"AAAAAD3dfck=",0)</f>
        <v>#REF!</v>
      </c>
      <c r="GU1" t="e">
        <f>AND(#REF!,"AAAAAD3dfco=")</f>
        <v>#REF!</v>
      </c>
      <c r="GV1" t="e">
        <f>IF(#REF!,"AAAAAD3dfcs=",0)</f>
        <v>#REF!</v>
      </c>
      <c r="GW1" t="e">
        <f>AND(#REF!,"AAAAAD3dfcw=")</f>
        <v>#REF!</v>
      </c>
      <c r="GX1" t="e">
        <f>IF(#REF!,"AAAAAD3dfc0=",0)</f>
        <v>#REF!</v>
      </c>
      <c r="GY1" t="e">
        <f>IF(#REF!,"AAAAAD3dfc4=",0)</f>
        <v>#REF!</v>
      </c>
      <c r="GZ1" t="e">
        <f>IF(#REF!,"AAAAAD3dfc8=",0)</f>
        <v>#REF!</v>
      </c>
      <c r="HA1" t="e">
        <f>IF(#REF!,"AAAAAD3dfdA=",0)</f>
        <v>#REF!</v>
      </c>
      <c r="HB1" t="e">
        <f>IF(#REF!,"AAAAAD3dfdE=",0)</f>
        <v>#REF!</v>
      </c>
      <c r="HC1" t="e">
        <f>IF(#REF!,"AAAAAD3dfdI=",0)</f>
        <v>#REF!</v>
      </c>
      <c r="HD1" t="e">
        <f>AND(#REF!,"AAAAAD3dfdM=")</f>
        <v>#REF!</v>
      </c>
      <c r="HE1" t="e">
        <f>IF(#REF!,"AAAAAD3dfdQ=",0)</f>
        <v>#REF!</v>
      </c>
      <c r="HF1" t="e">
        <f>IF(#REF!,"AAAAAD3dfdU=",0)</f>
        <v>#REF!</v>
      </c>
      <c r="HG1" t="e">
        <f>AND(#REF!,"AAAAAD3dfdY=")</f>
        <v>#REF!</v>
      </c>
      <c r="HH1" t="e">
        <f>AND(#REF!,"AAAAAD3dfdc=")</f>
        <v>#REF!</v>
      </c>
      <c r="HI1" t="e">
        <f>AND(#REF!,"AAAAAD3dfdg=")</f>
        <v>#REF!</v>
      </c>
      <c r="HJ1" t="e">
        <f>AND(#REF!,"AAAAAD3dfdk=")</f>
        <v>#REF!</v>
      </c>
      <c r="HK1" t="e">
        <f>AND(#REF!,"AAAAAD3dfdo=")</f>
        <v>#REF!</v>
      </c>
      <c r="HL1" t="e">
        <f>IF(#REF!,"AAAAAD3dfds=",0)</f>
        <v>#REF!</v>
      </c>
      <c r="HM1" t="e">
        <f>AND(#REF!,"AAAAAD3dfdw=")</f>
        <v>#REF!</v>
      </c>
      <c r="HN1" t="e">
        <f>AND(#REF!,"AAAAAD3dfd0=")</f>
        <v>#REF!</v>
      </c>
      <c r="HO1" t="e">
        <f>AND(#REF!,"AAAAAD3dfd4=")</f>
        <v>#REF!</v>
      </c>
      <c r="HP1" t="e">
        <f>AND(#REF!,"AAAAAD3dfd8=")</f>
        <v>#REF!</v>
      </c>
      <c r="HQ1" t="e">
        <f>AND(#REF!,"AAAAAD3dfeA=")</f>
        <v>#REF!</v>
      </c>
      <c r="HR1" t="e">
        <f>IF(#REF!,"AAAAAD3dfeE=",0)</f>
        <v>#REF!</v>
      </c>
      <c r="HS1" t="e">
        <f>IF(#REF!,"AAAAAD3dfeI=",0)</f>
        <v>#REF!</v>
      </c>
      <c r="HT1" t="e">
        <f>IF(#REF!,"AAAAAD3dfeM=",0)</f>
        <v>#REF!</v>
      </c>
      <c r="HU1" t="e">
        <f>IF(#REF!,"AAAAAD3dfeQ=",0)</f>
        <v>#REF!</v>
      </c>
      <c r="HV1" t="e">
        <f>IF(#REF!,"AAAAAD3dfeU=",0)</f>
        <v>#REF!</v>
      </c>
      <c r="HW1" t="e">
        <f>IF(#REF!,"AAAAAD3dfeY=",0)</f>
        <v>#REF!</v>
      </c>
      <c r="HX1" t="e">
        <f>AND(#REF!,"AAAAAD3dfec=")</f>
        <v>#REF!</v>
      </c>
      <c r="HY1" t="e">
        <f>IF(#REF!,"AAAAAD3dfeg=",0)</f>
        <v>#REF!</v>
      </c>
      <c r="HZ1" t="e">
        <f>IF(#REF!,"AAAAAD3dfek=",0)</f>
        <v>#REF!</v>
      </c>
      <c r="IA1" t="e">
        <f>AND(#REF!,"AAAAAD3dfeo=")</f>
        <v>#REF!</v>
      </c>
      <c r="IB1" t="e">
        <f>AND(#REF!,"AAAAAD3dfes=")</f>
        <v>#REF!</v>
      </c>
      <c r="IC1" t="e">
        <f>AND(#REF!,"AAAAAD3dfew=")</f>
        <v>#REF!</v>
      </c>
      <c r="ID1" t="e">
        <f>AND(#REF!,"AAAAAD3dfe0=")</f>
        <v>#REF!</v>
      </c>
      <c r="IE1" t="e">
        <f>AND(#REF!,"AAAAAD3dfe4=")</f>
        <v>#REF!</v>
      </c>
      <c r="IF1" t="e">
        <f>AND(#REF!,"AAAAAD3dfe8=")</f>
        <v>#REF!</v>
      </c>
      <c r="IG1" t="e">
        <f>AND(#REF!,"AAAAAD3dffA=")</f>
        <v>#REF!</v>
      </c>
      <c r="IH1" t="e">
        <f>AND(#REF!,"AAAAAD3dffE=")</f>
        <v>#REF!</v>
      </c>
      <c r="II1" t="e">
        <f>IF(#REF!,"AAAAAD3dffI=",0)</f>
        <v>#REF!</v>
      </c>
      <c r="IJ1" t="e">
        <f>AND(#REF!,"AAAAAD3dffM=")</f>
        <v>#REF!</v>
      </c>
      <c r="IK1" t="e">
        <f>AND(#REF!,"AAAAAD3dffQ=")</f>
        <v>#REF!</v>
      </c>
      <c r="IL1" t="e">
        <f>AND(#REF!,"AAAAAD3dffU=")</f>
        <v>#REF!</v>
      </c>
      <c r="IM1" t="e">
        <f>AND(#REF!,"AAAAAD3dffY=")</f>
        <v>#REF!</v>
      </c>
      <c r="IN1" t="e">
        <f>AND(#REF!,"AAAAAD3dffc=")</f>
        <v>#REF!</v>
      </c>
      <c r="IO1" t="e">
        <f>IF(#REF!,"AAAAAD3dffg=",0)</f>
        <v>#REF!</v>
      </c>
      <c r="IP1" t="e">
        <f>IF(#REF!,"AAAAAD3dffk=",0)</f>
        <v>#REF!</v>
      </c>
      <c r="IQ1" t="e">
        <f>IF(#REF!,"AAAAAD3dffo=",0)</f>
        <v>#REF!</v>
      </c>
      <c r="IR1" t="e">
        <f>IF(#REF!,"AAAAAD3dffs=",0)</f>
        <v>#REF!</v>
      </c>
      <c r="IS1" t="e">
        <f>IF(#REF!,"AAAAAD3dffw=",0)</f>
        <v>#REF!</v>
      </c>
      <c r="IT1" t="e">
        <f>IF(#REF!,"AAAAAD3dff0=",0)</f>
        <v>#REF!</v>
      </c>
      <c r="IU1" t="e">
        <f>IF(#REF!,"AAAAAD3dff4=",0)</f>
        <v>#REF!</v>
      </c>
      <c r="IV1" t="e">
        <f>IF(#REF!,"AAAAAD3dff8=",0)</f>
        <v>#REF!</v>
      </c>
    </row>
    <row r="2" spans="1:256">
      <c r="A2" t="s">
        <v>3</v>
      </c>
      <c r="B2" t="e">
        <f>IF("N",Creditor,"AAAAAHc+xwE=")</f>
        <v>#VALUE!</v>
      </c>
    </row>
  </sheetData>
  <customSheetViews>
    <customSheetView guid="{293FF80F-EF7D-4FB0-8B0B-45CE1E079A27}" state="veryHidden">
      <selection activeCell="A2" sqref="A2"/>
      <pageMargins left="0.7" right="0.7" top="0.75" bottom="0.75" header="0.3" footer="0.3"/>
    </customSheetView>
    <customSheetView guid="{B36C6FA1-08A0-40AD-9D06-C372589C511F}" state="veryHidden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A1:G21"/>
  <sheetViews>
    <sheetView workbookViewId="0">
      <selection activeCell="D13" sqref="D13"/>
    </sheetView>
  </sheetViews>
  <sheetFormatPr defaultRowHeight="15"/>
  <cols>
    <col min="1" max="1" width="9.140625" style="3"/>
    <col min="2" max="2" width="9.85546875" style="3" customWidth="1"/>
    <col min="3" max="3" width="23.5703125" style="3" customWidth="1"/>
    <col min="4" max="4" width="18.28515625" style="3" customWidth="1"/>
    <col min="5" max="5" width="21.140625" style="3" customWidth="1"/>
    <col min="6" max="6" width="18.7109375" style="3" customWidth="1"/>
    <col min="7" max="7" width="13.5703125" style="3" customWidth="1"/>
  </cols>
  <sheetData>
    <row r="1" spans="1:7">
      <c r="A1" s="12" t="s">
        <v>126</v>
      </c>
      <c r="B1" s="4" t="s">
        <v>1</v>
      </c>
      <c r="C1" s="4" t="s">
        <v>122</v>
      </c>
      <c r="D1" s="4" t="s">
        <v>60</v>
      </c>
      <c r="E1" s="4" t="s">
        <v>125</v>
      </c>
      <c r="F1" s="4" t="s">
        <v>2</v>
      </c>
      <c r="G1" s="4" t="s">
        <v>116</v>
      </c>
    </row>
    <row r="2" spans="1:7">
      <c r="A2" s="3">
        <v>1</v>
      </c>
      <c r="B2" s="3">
        <v>101</v>
      </c>
      <c r="C2" s="3" t="s">
        <v>5</v>
      </c>
      <c r="D2" s="3" t="s">
        <v>62</v>
      </c>
      <c r="E2" s="3" t="s">
        <v>175</v>
      </c>
      <c r="F2" s="3">
        <v>7721.12</v>
      </c>
      <c r="G2" s="3" t="s">
        <v>4</v>
      </c>
    </row>
    <row r="3" spans="1:7">
      <c r="A3" s="3">
        <v>2</v>
      </c>
      <c r="B3" s="3">
        <v>101</v>
      </c>
      <c r="C3" s="3" t="s">
        <v>5</v>
      </c>
      <c r="D3" s="3" t="s">
        <v>62</v>
      </c>
      <c r="E3" s="3" t="s">
        <v>176</v>
      </c>
      <c r="F3" s="3">
        <v>7415.1</v>
      </c>
      <c r="G3" s="3" t="s">
        <v>4</v>
      </c>
    </row>
    <row r="4" spans="1:7">
      <c r="A4" s="3">
        <v>3</v>
      </c>
      <c r="B4" s="3">
        <v>101</v>
      </c>
      <c r="C4" s="3" t="s">
        <v>5</v>
      </c>
      <c r="D4" s="3" t="s">
        <v>62</v>
      </c>
      <c r="E4" s="3" t="s">
        <v>177</v>
      </c>
      <c r="F4" s="3">
        <v>43911.09</v>
      </c>
      <c r="G4" s="3" t="s">
        <v>4</v>
      </c>
    </row>
    <row r="5" spans="1:7">
      <c r="A5" s="3">
        <v>4</v>
      </c>
      <c r="B5" s="3">
        <v>101</v>
      </c>
      <c r="C5" s="3" t="s">
        <v>5</v>
      </c>
      <c r="D5" s="3" t="s">
        <v>62</v>
      </c>
      <c r="E5" s="3" t="s">
        <v>178</v>
      </c>
      <c r="F5" s="3">
        <v>70276.53</v>
      </c>
      <c r="G5" s="3" t="s">
        <v>4</v>
      </c>
    </row>
    <row r="6" spans="1:7">
      <c r="A6" s="3">
        <v>5</v>
      </c>
      <c r="B6" s="3">
        <v>101</v>
      </c>
      <c r="C6" s="3" t="s">
        <v>5</v>
      </c>
      <c r="D6" s="3" t="s">
        <v>62</v>
      </c>
      <c r="E6" s="3" t="s">
        <v>180</v>
      </c>
      <c r="F6" s="3">
        <v>1337.07</v>
      </c>
      <c r="G6" s="3" t="s">
        <v>4</v>
      </c>
    </row>
    <row r="7" spans="1:7">
      <c r="A7" s="3">
        <v>6</v>
      </c>
      <c r="B7" s="3">
        <v>102</v>
      </c>
      <c r="C7" s="3" t="s">
        <v>6</v>
      </c>
      <c r="D7" s="3" t="s">
        <v>61</v>
      </c>
      <c r="E7" s="3" t="s">
        <v>204</v>
      </c>
      <c r="F7" s="3">
        <v>970578.68</v>
      </c>
      <c r="G7" s="3" t="s">
        <v>4</v>
      </c>
    </row>
    <row r="8" spans="1:7">
      <c r="A8" s="3">
        <v>7</v>
      </c>
      <c r="B8" s="3">
        <v>102</v>
      </c>
      <c r="C8" s="3" t="s">
        <v>6</v>
      </c>
      <c r="D8" s="3" t="s">
        <v>61</v>
      </c>
      <c r="E8" s="3" t="s">
        <v>205</v>
      </c>
      <c r="F8" s="3">
        <v>1014758.55</v>
      </c>
      <c r="G8" s="3" t="s">
        <v>4</v>
      </c>
    </row>
    <row r="9" spans="1:7">
      <c r="A9" s="3">
        <v>8</v>
      </c>
      <c r="B9" s="3">
        <v>102</v>
      </c>
      <c r="C9" s="3" t="s">
        <v>6</v>
      </c>
      <c r="D9" s="3" t="s">
        <v>61</v>
      </c>
      <c r="E9" s="3" t="s">
        <v>206</v>
      </c>
      <c r="F9" s="3">
        <v>1544165.11</v>
      </c>
      <c r="G9" s="3" t="s">
        <v>4</v>
      </c>
    </row>
    <row r="10" spans="1:7">
      <c r="A10" s="3">
        <v>9</v>
      </c>
      <c r="B10" s="3">
        <v>102</v>
      </c>
      <c r="C10" s="3" t="s">
        <v>6</v>
      </c>
      <c r="D10" s="3" t="s">
        <v>61</v>
      </c>
      <c r="E10" s="3" t="s">
        <v>207</v>
      </c>
      <c r="F10" s="3">
        <v>721848.62</v>
      </c>
      <c r="G10" s="3" t="s">
        <v>4</v>
      </c>
    </row>
    <row r="11" spans="1:7">
      <c r="A11" s="3">
        <v>10</v>
      </c>
      <c r="B11" s="3">
        <v>102</v>
      </c>
      <c r="C11" s="3" t="s">
        <v>6</v>
      </c>
      <c r="D11" s="3" t="s">
        <v>61</v>
      </c>
      <c r="E11" s="3" t="s">
        <v>135</v>
      </c>
      <c r="F11" s="3">
        <v>485352</v>
      </c>
      <c r="G11" s="3" t="s">
        <v>4</v>
      </c>
    </row>
    <row r="12" spans="1:7">
      <c r="A12" s="3">
        <v>11</v>
      </c>
      <c r="B12" s="3">
        <v>103</v>
      </c>
      <c r="C12" s="3" t="s">
        <v>7</v>
      </c>
      <c r="D12" s="3" t="s">
        <v>61</v>
      </c>
      <c r="E12" s="3">
        <v>1111189</v>
      </c>
      <c r="F12" s="3">
        <v>716163.84</v>
      </c>
      <c r="G12" s="3" t="s">
        <v>4</v>
      </c>
    </row>
    <row r="13" spans="1:7">
      <c r="A13" s="3">
        <v>12</v>
      </c>
      <c r="B13" s="3">
        <v>103</v>
      </c>
      <c r="C13" s="3" t="s">
        <v>7</v>
      </c>
      <c r="D13" s="3" t="s">
        <v>61</v>
      </c>
      <c r="E13" s="3">
        <v>1111190</v>
      </c>
      <c r="F13" s="3">
        <v>581883.12</v>
      </c>
      <c r="G13" s="3" t="s">
        <v>4</v>
      </c>
    </row>
    <row r="14" spans="1:7">
      <c r="A14" s="3">
        <v>13</v>
      </c>
      <c r="B14" s="3">
        <v>103</v>
      </c>
      <c r="C14" s="3" t="s">
        <v>7</v>
      </c>
      <c r="D14" s="3" t="s">
        <v>61</v>
      </c>
      <c r="E14" s="3">
        <v>1111191</v>
      </c>
      <c r="F14" s="3">
        <v>47119.59</v>
      </c>
      <c r="G14" s="3" t="s">
        <v>4</v>
      </c>
    </row>
    <row r="15" spans="1:7">
      <c r="A15" s="3">
        <v>14</v>
      </c>
      <c r="B15" s="3">
        <v>103</v>
      </c>
      <c r="C15" s="3" t="s">
        <v>7</v>
      </c>
      <c r="D15" s="3" t="s">
        <v>61</v>
      </c>
      <c r="E15" s="3">
        <v>111236</v>
      </c>
      <c r="F15" s="3">
        <v>716163.84</v>
      </c>
      <c r="G15" s="3" t="s">
        <v>4</v>
      </c>
    </row>
    <row r="16" spans="1:7">
      <c r="A16" s="3">
        <v>15</v>
      </c>
      <c r="B16" s="3">
        <v>103</v>
      </c>
      <c r="C16" s="3" t="s">
        <v>7</v>
      </c>
      <c r="D16" s="3" t="s">
        <v>61</v>
      </c>
      <c r="E16" s="3">
        <v>1111260</v>
      </c>
      <c r="F16" s="3">
        <v>44760.24</v>
      </c>
      <c r="G16" s="3" t="s">
        <v>4</v>
      </c>
    </row>
    <row r="17" spans="1:7">
      <c r="A17" s="3">
        <v>16</v>
      </c>
      <c r="B17" s="3">
        <v>104</v>
      </c>
      <c r="C17" s="3" t="s">
        <v>10</v>
      </c>
      <c r="D17" s="3" t="s">
        <v>61</v>
      </c>
      <c r="E17" s="3" t="s">
        <v>299</v>
      </c>
      <c r="F17" s="3">
        <v>20865</v>
      </c>
      <c r="G17" s="3" t="s">
        <v>4</v>
      </c>
    </row>
    <row r="18" spans="1:7">
      <c r="A18" s="3">
        <v>17</v>
      </c>
      <c r="B18" s="3">
        <v>104</v>
      </c>
      <c r="C18" s="3" t="s">
        <v>10</v>
      </c>
      <c r="D18" s="3" t="s">
        <v>61</v>
      </c>
      <c r="E18" s="3" t="s">
        <v>300</v>
      </c>
      <c r="F18" s="3">
        <v>2782000</v>
      </c>
      <c r="G18" s="3" t="s">
        <v>4</v>
      </c>
    </row>
    <row r="19" spans="1:7">
      <c r="A19" s="3">
        <v>18</v>
      </c>
      <c r="B19" s="3">
        <v>104</v>
      </c>
      <c r="C19" s="3" t="s">
        <v>10</v>
      </c>
      <c r="D19" s="3" t="s">
        <v>61</v>
      </c>
      <c r="E19" s="3" t="s">
        <v>301</v>
      </c>
      <c r="F19" s="3">
        <v>2118600</v>
      </c>
      <c r="G19" s="3" t="s">
        <v>4</v>
      </c>
    </row>
    <row r="20" spans="1:7">
      <c r="A20" s="3">
        <v>19</v>
      </c>
      <c r="B20" s="3">
        <v>104</v>
      </c>
      <c r="C20" s="3" t="s">
        <v>10</v>
      </c>
      <c r="D20" s="3" t="s">
        <v>61</v>
      </c>
      <c r="E20" s="3" t="s">
        <v>302</v>
      </c>
      <c r="F20" s="3">
        <v>834600</v>
      </c>
      <c r="G20" s="3" t="s">
        <v>4</v>
      </c>
    </row>
    <row r="21" spans="1:7">
      <c r="A21" s="3">
        <v>20</v>
      </c>
      <c r="B21" s="3">
        <v>104</v>
      </c>
      <c r="C21" s="3" t="s">
        <v>10</v>
      </c>
      <c r="D21" s="3" t="s">
        <v>61</v>
      </c>
      <c r="E21" s="3" t="s">
        <v>304</v>
      </c>
      <c r="F21" s="3">
        <v>2244860</v>
      </c>
      <c r="G21" s="3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E198"/>
  <sheetViews>
    <sheetView topLeftCell="A13" workbookViewId="0">
      <selection activeCell="B30" sqref="B30"/>
    </sheetView>
  </sheetViews>
  <sheetFormatPr defaultRowHeight="15"/>
  <cols>
    <col min="2" max="2" width="46.28515625" customWidth="1"/>
    <col min="3" max="3" width="8.7109375" customWidth="1"/>
    <col min="4" max="4" width="16.7109375" customWidth="1"/>
    <col min="5" max="5" width="24.85546875" customWidth="1"/>
    <col min="10" max="10" width="26.85546875" customWidth="1"/>
    <col min="14" max="14" width="15.7109375" customWidth="1"/>
  </cols>
  <sheetData>
    <row r="1" spans="1:5" ht="20.25" customHeight="1">
      <c r="A1" s="6" t="s">
        <v>1</v>
      </c>
      <c r="B1" s="6" t="s">
        <v>0</v>
      </c>
      <c r="C1">
        <v>0</v>
      </c>
      <c r="D1" t="e">
        <f>IF(#REF!="","",#REF!)</f>
        <v>#REF!</v>
      </c>
      <c r="E1" s="22">
        <f>LOOKUP(9.99999999999999E+307,C:C)</f>
        <v>0</v>
      </c>
    </row>
    <row r="2" spans="1:5">
      <c r="A2" s="2">
        <v>101</v>
      </c>
      <c r="B2" s="8" t="s">
        <v>5</v>
      </c>
      <c r="C2" s="22" t="str">
        <f>IF(ISNUMBER(SEARCH($D$1,B2)),LOOKUP(9.99999999999999E+307,C$1:C1)+1,"")</f>
        <v/>
      </c>
      <c r="E2" t="str">
        <f>IF(ROWS(E$2:E2)&gt;$E$1,"",LOOKUP(ROWS(E$2:E2),C:C,B:B))</f>
        <v/>
      </c>
    </row>
    <row r="3" spans="1:5">
      <c r="A3" s="2">
        <f>IF(B3="","",MAX($A$2:A2)+1)</f>
        <v>102</v>
      </c>
      <c r="B3" s="8" t="s">
        <v>6</v>
      </c>
      <c r="C3" s="22" t="str">
        <f>IF(ISNUMBER(SEARCH($D$1,B3)),LOOKUP(9.99999999999999E+307,C$1:C2)+1,"")</f>
        <v/>
      </c>
      <c r="E3" t="str">
        <f>IF(ROWS(E$2:E3)&gt;$E$1,"",LOOKUP(ROWS(E$2:E3),C:C,B:B))</f>
        <v/>
      </c>
    </row>
    <row r="4" spans="1:5">
      <c r="A4" s="2">
        <f>IF(B4="","",MAX($A$2:A3)+1)</f>
        <v>103</v>
      </c>
      <c r="B4" s="8" t="s">
        <v>7</v>
      </c>
      <c r="C4" s="22" t="str">
        <f>IF(ISNUMBER(SEARCH($D$1,B4)),LOOKUP(9.99999999999999E+307,C$1:C3)+1,"")</f>
        <v/>
      </c>
      <c r="E4" t="str">
        <f>IF(ROWS(E$2:E4)&gt;$E$1,"",LOOKUP(ROWS(E$2:E4),C:C,B:B))</f>
        <v/>
      </c>
    </row>
    <row r="5" spans="1:5">
      <c r="A5" s="2">
        <f>IF(B5="","",MAX($A$2:A4)+1)</f>
        <v>104</v>
      </c>
      <c r="B5" s="8" t="s">
        <v>8</v>
      </c>
      <c r="C5" s="22" t="str">
        <f>IF(ISNUMBER(SEARCH($D$1,B5)),LOOKUP(9.99999999999999E+307,C$1:C4)+1,"")</f>
        <v/>
      </c>
      <c r="E5" t="str">
        <f>IF(ROWS(E$2:E5)&gt;$E$1,"",LOOKUP(ROWS(E$2:E5),C:C,B:B))</f>
        <v/>
      </c>
    </row>
    <row r="6" spans="1:5">
      <c r="A6" s="2">
        <f>IF(B6="","",MAX($A$2:A5)+1)</f>
        <v>105</v>
      </c>
      <c r="B6" s="8" t="s">
        <v>9</v>
      </c>
      <c r="C6" s="22" t="str">
        <f>IF(ISNUMBER(SEARCH($D$1,B6)),LOOKUP(9.99999999999999E+307,C$1:C5)+1,"")</f>
        <v/>
      </c>
      <c r="E6" t="str">
        <f>IF(ROWS(E$2:E6)&gt;$E$1,"",LOOKUP(ROWS(E$2:E6),C:C,B:B))</f>
        <v/>
      </c>
    </row>
    <row r="7" spans="1:5">
      <c r="A7" s="2">
        <f>IF(B7="","",MAX($A$2:A6)+1)</f>
        <v>106</v>
      </c>
      <c r="B7" s="8" t="s">
        <v>75</v>
      </c>
      <c r="C7" s="22" t="str">
        <f>IF(ISNUMBER(SEARCH($D$1,B7)),LOOKUP(9.99999999999999E+307,C$1:C6)+1,"")</f>
        <v/>
      </c>
      <c r="E7" t="str">
        <f>IF(ROWS(E$2:E7)&gt;$E$1,"",LOOKUP(ROWS(E$2:E7),C:C,B:B))</f>
        <v/>
      </c>
    </row>
    <row r="8" spans="1:5">
      <c r="A8" s="2">
        <f>IF(B8="","",MAX($A$2:A7)+1)</f>
        <v>107</v>
      </c>
      <c r="B8" s="8" t="s">
        <v>10</v>
      </c>
      <c r="C8" s="22" t="str">
        <f>IF(ISNUMBER(SEARCH($D$1,B8)),LOOKUP(9.99999999999999E+307,C$1:C7)+1,"")</f>
        <v/>
      </c>
      <c r="E8" t="str">
        <f>IF(ROWS(E$2:E8)&gt;$E$1,"",LOOKUP(ROWS(E$2:E8),C:C,B:B))</f>
        <v/>
      </c>
    </row>
    <row r="9" spans="1:5">
      <c r="A9" s="2">
        <f>IF(B9="","",MAX($A$2:A8)+1)</f>
        <v>108</v>
      </c>
      <c r="B9" s="8" t="s">
        <v>11</v>
      </c>
      <c r="C9" s="22" t="str">
        <f>IF(ISNUMBER(SEARCH($D$1,B9)),LOOKUP(9.99999999999999E+307,C$1:C8)+1,"")</f>
        <v/>
      </c>
      <c r="E9" t="str">
        <f>IF(ROWS(E$2:E9)&gt;$E$1,"",LOOKUP(ROWS(E$2:E9),C:C,B:B))</f>
        <v/>
      </c>
    </row>
    <row r="10" spans="1:5">
      <c r="A10" s="2">
        <f>IF(B10="","",MAX($A$2:A9)+1)</f>
        <v>109</v>
      </c>
      <c r="B10" s="8" t="s">
        <v>12</v>
      </c>
      <c r="C10" s="22" t="str">
        <f>IF(ISNUMBER(SEARCH($D$1,B10)),LOOKUP(9.99999999999999E+307,C$1:C9)+1,"")</f>
        <v/>
      </c>
      <c r="E10" t="str">
        <f>IF(ROWS(E$2:E10)&gt;$E$1,"",LOOKUP(ROWS(E$2:E10),C:C,B:B))</f>
        <v/>
      </c>
    </row>
    <row r="11" spans="1:5">
      <c r="A11" s="2">
        <f>IF(B11="","",MAX($A$2:A10)+1)</f>
        <v>110</v>
      </c>
      <c r="B11" s="8" t="s">
        <v>13</v>
      </c>
      <c r="C11" s="22" t="str">
        <f>IF(ISNUMBER(SEARCH($D$1,B11)),LOOKUP(9.99999999999999E+307,C$1:C10)+1,"")</f>
        <v/>
      </c>
      <c r="E11" t="str">
        <f>IF(ROWS(E$2:E11)&gt;$E$1,"",LOOKUP(ROWS(E$2:E11),C:C,B:B))</f>
        <v/>
      </c>
    </row>
    <row r="12" spans="1:5">
      <c r="A12" s="2">
        <f>IF(B12="","",MAX($A$2:A11)+1)</f>
        <v>111</v>
      </c>
      <c r="B12" s="8" t="s">
        <v>14</v>
      </c>
      <c r="C12" s="22" t="str">
        <f>IF(ISNUMBER(SEARCH($D$1,B12)),LOOKUP(9.99999999999999E+307,C$1:C11)+1,"")</f>
        <v/>
      </c>
      <c r="E12" t="str">
        <f>IF(ROWS(E$2:E12)&gt;$E$1,"",LOOKUP(ROWS(E$2:E12),C:C,B:B))</f>
        <v/>
      </c>
    </row>
    <row r="13" spans="1:5">
      <c r="A13" s="2">
        <f>IF(B13="","",MAX($A$2:A12)+1)</f>
        <v>112</v>
      </c>
      <c r="B13" s="8" t="s">
        <v>15</v>
      </c>
      <c r="C13" s="22" t="str">
        <f>IF(ISNUMBER(SEARCH($D$1,B13)),LOOKUP(9.99999999999999E+307,C$1:C12)+1,"")</f>
        <v/>
      </c>
      <c r="E13" t="str">
        <f>IF(ROWS(E$2:E13)&gt;$E$1,"",LOOKUP(ROWS(E$2:E13),C:C,B:B))</f>
        <v/>
      </c>
    </row>
    <row r="14" spans="1:5">
      <c r="A14" s="2">
        <f>IF(B14="","",MAX($A$2:A13)+1)</f>
        <v>113</v>
      </c>
      <c r="B14" s="8" t="s">
        <v>16</v>
      </c>
      <c r="C14" s="22" t="str">
        <f>IF(ISNUMBER(SEARCH($D$1,B14)),LOOKUP(9.99999999999999E+307,C$1:C13)+1,"")</f>
        <v/>
      </c>
      <c r="E14" t="str">
        <f>IF(ROWS(E$2:E14)&gt;$E$1,"",LOOKUP(ROWS(E$2:E14),C:C,B:B))</f>
        <v/>
      </c>
    </row>
    <row r="15" spans="1:5">
      <c r="A15" s="2">
        <f>IF(B15="","",MAX($A$2:A14)+1)</f>
        <v>114</v>
      </c>
      <c r="B15" s="8" t="s">
        <v>17</v>
      </c>
      <c r="C15" s="22" t="str">
        <f>IF(ISNUMBER(SEARCH($D$1,B15)),LOOKUP(9.99999999999999E+307,C$1:C14)+1,"")</f>
        <v/>
      </c>
      <c r="E15" t="str">
        <f>IF(ROWS(E$2:E15)&gt;$E$1,"",LOOKUP(ROWS(E$2:E15),C:C,B:B))</f>
        <v/>
      </c>
    </row>
    <row r="16" spans="1:5">
      <c r="A16" s="2">
        <f>IF(B16="","",MAX($A$2:A15)+1)</f>
        <v>115</v>
      </c>
      <c r="B16" s="8" t="s">
        <v>18</v>
      </c>
      <c r="C16" s="22" t="str">
        <f>IF(ISNUMBER(SEARCH($D$1,B16)),LOOKUP(9.99999999999999E+307,C$1:C15)+1,"")</f>
        <v/>
      </c>
      <c r="E16" t="str">
        <f>IF(ROWS(E$2:E16)&gt;$E$1,"",LOOKUP(ROWS(E$2:E16),C:C,B:B))</f>
        <v/>
      </c>
    </row>
    <row r="17" spans="1:5">
      <c r="A17" s="2">
        <f>IF(B17="","",MAX($A$2:A16)+1)</f>
        <v>116</v>
      </c>
      <c r="B17" s="8" t="s">
        <v>19</v>
      </c>
      <c r="C17" s="22" t="str">
        <f>IF(ISNUMBER(SEARCH($D$1,B17)),LOOKUP(9.99999999999999E+307,C$1:C16)+1,"")</f>
        <v/>
      </c>
      <c r="E17" t="str">
        <f>IF(ROWS(E$2:E17)&gt;$E$1,"",LOOKUP(ROWS(E$2:E17),C:C,B:B))</f>
        <v/>
      </c>
    </row>
    <row r="18" spans="1:5">
      <c r="A18" s="2">
        <f>IF(B18="","",MAX($A$2:A17)+1)</f>
        <v>117</v>
      </c>
      <c r="B18" s="8" t="s">
        <v>20</v>
      </c>
      <c r="C18" s="22" t="str">
        <f>IF(ISNUMBER(SEARCH($D$1,B18)),LOOKUP(9.99999999999999E+307,C$1:C17)+1,"")</f>
        <v/>
      </c>
      <c r="E18" t="str">
        <f>IF(ROWS(E$2:E18)&gt;$E$1,"",LOOKUP(ROWS(E$2:E18),C:C,B:B))</f>
        <v/>
      </c>
    </row>
    <row r="19" spans="1:5">
      <c r="A19" s="2">
        <f>IF(B19="","",MAX($A$2:A18)+1)</f>
        <v>118</v>
      </c>
      <c r="B19" s="8" t="s">
        <v>21</v>
      </c>
      <c r="C19" s="22" t="str">
        <f>IF(ISNUMBER(SEARCH($D$1,B19)),LOOKUP(9.99999999999999E+307,C$1:C18)+1,"")</f>
        <v/>
      </c>
      <c r="E19" t="str">
        <f>IF(ROWS(E$2:E19)&gt;$E$1,"",LOOKUP(ROWS(E$2:E19),C:C,B:B))</f>
        <v/>
      </c>
    </row>
    <row r="20" spans="1:5">
      <c r="A20" s="2">
        <f>IF(B20="","",MAX($A$2:A19)+1)</f>
        <v>119</v>
      </c>
      <c r="B20" s="8" t="s">
        <v>22</v>
      </c>
      <c r="C20" s="22" t="str">
        <f>IF(ISNUMBER(SEARCH($D$1,B20)),LOOKUP(9.99999999999999E+307,C$1:C19)+1,"")</f>
        <v/>
      </c>
      <c r="E20" t="str">
        <f>IF(ROWS(E$2:E20)&gt;$E$1,"",LOOKUP(ROWS(E$2:E20),C:C,B:B))</f>
        <v/>
      </c>
    </row>
    <row r="21" spans="1:5">
      <c r="A21" s="2">
        <f>IF(B21="","",MAX($A$2:A20)+1)</f>
        <v>120</v>
      </c>
      <c r="B21" s="8" t="s">
        <v>23</v>
      </c>
      <c r="C21" s="22" t="str">
        <f>IF(ISNUMBER(SEARCH($D$1,B21)),LOOKUP(9.99999999999999E+307,C$1:C20)+1,"")</f>
        <v/>
      </c>
      <c r="E21" t="str">
        <f>IF(ROWS(E$2:E21)&gt;$E$1,"",LOOKUP(ROWS(E$2:E21),C:C,B:B))</f>
        <v/>
      </c>
    </row>
    <row r="22" spans="1:5">
      <c r="A22" s="2">
        <f>IF(B22="","",MAX($A$2:A21)+1)</f>
        <v>121</v>
      </c>
      <c r="B22" s="8" t="s">
        <v>24</v>
      </c>
      <c r="C22" s="22" t="str">
        <f>IF(ISNUMBER(SEARCH($D$1,B22)),LOOKUP(9.99999999999999E+307,C$1:C21)+1,"")</f>
        <v/>
      </c>
      <c r="E22" t="str">
        <f>IF(ROWS(E$2:E22)&gt;$E$1,"",LOOKUP(ROWS(E$2:E22),C:C,B:B))</f>
        <v/>
      </c>
    </row>
    <row r="23" spans="1:5">
      <c r="A23" s="2">
        <f>IF(B23="","",MAX($A$2:A22)+1)</f>
        <v>122</v>
      </c>
      <c r="B23" s="8" t="s">
        <v>25</v>
      </c>
      <c r="C23" s="22" t="str">
        <f>IF(ISNUMBER(SEARCH($D$1,B23)),LOOKUP(9.99999999999999E+307,C$1:C22)+1,"")</f>
        <v/>
      </c>
      <c r="E23" t="str">
        <f>IF(ROWS(E$2:E23)&gt;$E$1,"",LOOKUP(ROWS(E$2:E23),C:C,B:B))</f>
        <v/>
      </c>
    </row>
    <row r="24" spans="1:5">
      <c r="A24" s="2">
        <f>IF(B24="","",MAX($A$2:A23)+1)</f>
        <v>123</v>
      </c>
      <c r="B24" s="8" t="s">
        <v>26</v>
      </c>
      <c r="C24" s="22" t="str">
        <f>IF(ISNUMBER(SEARCH($D$1,B24)),LOOKUP(9.99999999999999E+307,C$1:C23)+1,"")</f>
        <v/>
      </c>
      <c r="E24" t="str">
        <f>IF(ROWS(E$2:E24)&gt;$E$1,"",LOOKUP(ROWS(E$2:E24),C:C,B:B))</f>
        <v/>
      </c>
    </row>
    <row r="25" spans="1:5">
      <c r="A25" s="2">
        <f>IF(B25="","",MAX($A$2:A24)+1)</f>
        <v>124</v>
      </c>
      <c r="B25" s="8" t="s">
        <v>27</v>
      </c>
      <c r="C25" s="22" t="str">
        <f>IF(ISNUMBER(SEARCH($D$1,B25)),LOOKUP(9.99999999999999E+307,C$1:C24)+1,"")</f>
        <v/>
      </c>
      <c r="E25" t="str">
        <f>IF(ROWS(E$2:E25)&gt;$E$1,"",LOOKUP(ROWS(E$2:E25),C:C,B:B))</f>
        <v/>
      </c>
    </row>
    <row r="26" spans="1:5">
      <c r="A26" s="2">
        <f>IF(B26="","",MAX($A$2:A25)+1)</f>
        <v>125</v>
      </c>
      <c r="B26" s="8" t="s">
        <v>28</v>
      </c>
      <c r="C26" s="22" t="str">
        <f>IF(ISNUMBER(SEARCH($D$1,B26)),LOOKUP(9.99999999999999E+307,C$1:C25)+1,"")</f>
        <v/>
      </c>
      <c r="E26" t="str">
        <f>IF(ROWS(E$2:E26)&gt;$E$1,"",LOOKUP(ROWS(E$2:E26),C:C,B:B))</f>
        <v/>
      </c>
    </row>
    <row r="27" spans="1:5">
      <c r="A27" s="2">
        <f>IF(B27="","",MAX($A$2:A26)+1)</f>
        <v>126</v>
      </c>
      <c r="B27" s="8" t="s">
        <v>29</v>
      </c>
      <c r="C27" s="22" t="str">
        <f>IF(ISNUMBER(SEARCH($D$1,B27)),LOOKUP(9.99999999999999E+307,C$1:C26)+1,"")</f>
        <v/>
      </c>
      <c r="E27" t="str">
        <f>IF(ROWS(E$2:E27)&gt;$E$1,"",LOOKUP(ROWS(E$2:E27),C:C,B:B))</f>
        <v/>
      </c>
    </row>
    <row r="28" spans="1:5">
      <c r="A28" s="2">
        <f>IF(B28="","",MAX($A$2:A27)+1)</f>
        <v>127</v>
      </c>
      <c r="B28" s="8" t="s">
        <v>30</v>
      </c>
      <c r="C28" s="22" t="str">
        <f>IF(ISNUMBER(SEARCH($D$1,B28)),LOOKUP(9.99999999999999E+307,C$1:C27)+1,"")</f>
        <v/>
      </c>
      <c r="E28" t="str">
        <f>IF(ROWS(E$2:E28)&gt;$E$1,"",LOOKUP(ROWS(E$2:E28),C:C,B:B))</f>
        <v/>
      </c>
    </row>
    <row r="29" spans="1:5">
      <c r="A29" s="2">
        <f>IF(B29="","",MAX($A$2:A28)+1)</f>
        <v>128</v>
      </c>
      <c r="B29" s="8" t="s">
        <v>31</v>
      </c>
      <c r="C29" s="22" t="str">
        <f>IF(ISNUMBER(SEARCH($D$1,B29)),LOOKUP(9.99999999999999E+307,C$1:C28)+1,"")</f>
        <v/>
      </c>
      <c r="E29" t="str">
        <f>IF(ROWS(E$2:E29)&gt;$E$1,"",LOOKUP(ROWS(E$2:E29),C:C,B:B))</f>
        <v/>
      </c>
    </row>
    <row r="30" spans="1:5">
      <c r="A30" s="2">
        <f>IF(B30="","",MAX($A$2:A29)+1)</f>
        <v>129</v>
      </c>
      <c r="B30" s="8" t="s">
        <v>32</v>
      </c>
      <c r="C30" s="22" t="str">
        <f>IF(ISNUMBER(SEARCH($D$1,B30)),LOOKUP(9.99999999999999E+307,C$1:C29)+1,"")</f>
        <v/>
      </c>
      <c r="E30" t="str">
        <f>IF(ROWS(E$2:E30)&gt;$E$1,"",LOOKUP(ROWS(E$2:E30),C:C,B:B))</f>
        <v/>
      </c>
    </row>
    <row r="31" spans="1:5">
      <c r="A31" s="2">
        <f>IF(B31="","",MAX($A$2:A30)+1)</f>
        <v>130</v>
      </c>
      <c r="B31" s="8" t="s">
        <v>33</v>
      </c>
      <c r="C31" s="22" t="str">
        <f>IF(ISNUMBER(SEARCH($D$1,B31)),LOOKUP(9.99999999999999E+307,C$1:C30)+1,"")</f>
        <v/>
      </c>
      <c r="E31" t="str">
        <f>IF(ROWS(E$2:E31)&gt;$E$1,"",LOOKUP(ROWS(E$2:E31),C:C,B:B))</f>
        <v/>
      </c>
    </row>
    <row r="32" spans="1:5">
      <c r="A32" s="2">
        <f>IF(B32="","",MAX($A$2:A31)+1)</f>
        <v>131</v>
      </c>
      <c r="B32" s="8" t="s">
        <v>34</v>
      </c>
      <c r="C32" s="22" t="str">
        <f>IF(ISNUMBER(SEARCH($D$1,B32)),LOOKUP(9.99999999999999E+307,C$1:C31)+1,"")</f>
        <v/>
      </c>
      <c r="E32" t="str">
        <f>IF(ROWS(E$2:E32)&gt;$E$1,"",LOOKUP(ROWS(E$2:E32),C:C,B:B))</f>
        <v/>
      </c>
    </row>
    <row r="33" spans="1:5">
      <c r="A33" s="2">
        <f>IF(B33="","",MAX($A$2:A32)+1)</f>
        <v>132</v>
      </c>
      <c r="B33" s="8" t="s">
        <v>201</v>
      </c>
      <c r="C33" s="22" t="str">
        <f>IF(ISNUMBER(SEARCH($D$1,B33)),LOOKUP(9.99999999999999E+307,C$1:C32)+1,"")</f>
        <v/>
      </c>
      <c r="E33" t="str">
        <f>IF(ROWS(E$2:E33)&gt;$E$1,"",LOOKUP(ROWS(E$2:E33),C:C,B:B))</f>
        <v/>
      </c>
    </row>
    <row r="34" spans="1:5">
      <c r="A34" s="2">
        <f>IF(B34="","",MAX($A$2:A33)+1)</f>
        <v>133</v>
      </c>
      <c r="B34" s="8" t="s">
        <v>35</v>
      </c>
      <c r="C34" s="22" t="str">
        <f>IF(ISNUMBER(SEARCH($D$1,B34)),LOOKUP(9.99999999999999E+307,C$1:C33)+1,"")</f>
        <v/>
      </c>
      <c r="E34" t="str">
        <f>IF(ROWS(E$2:E34)&gt;$E$1,"",LOOKUP(ROWS(E$2:E34),C:C,B:B))</f>
        <v/>
      </c>
    </row>
    <row r="35" spans="1:5">
      <c r="A35" s="2">
        <f>IF(B35="","",MAX($A$2:A34)+1)</f>
        <v>134</v>
      </c>
      <c r="B35" s="8" t="s">
        <v>36</v>
      </c>
      <c r="C35" s="22" t="str">
        <f>IF(ISNUMBER(SEARCH($D$1,B35)),LOOKUP(9.99999999999999E+307,C$1:C34)+1,"")</f>
        <v/>
      </c>
      <c r="E35" t="str">
        <f>IF(ROWS(E$2:E35)&gt;$E$1,"",LOOKUP(ROWS(E$2:E35),C:C,B:B))</f>
        <v/>
      </c>
    </row>
    <row r="36" spans="1:5">
      <c r="A36" s="2">
        <f>IF(B36="","",MAX($A$2:A35)+1)</f>
        <v>135</v>
      </c>
      <c r="B36" s="8" t="s">
        <v>37</v>
      </c>
      <c r="C36" s="22" t="str">
        <f>IF(ISNUMBER(SEARCH($D$1,B36)),LOOKUP(9.99999999999999E+307,C$1:C35)+1,"")</f>
        <v/>
      </c>
      <c r="E36" t="str">
        <f>IF(ROWS(E$2:E36)&gt;$E$1,"",LOOKUP(ROWS(E$2:E36),C:C,B:B))</f>
        <v/>
      </c>
    </row>
    <row r="37" spans="1:5">
      <c r="A37" s="2">
        <f>IF(B37="","",MAX($A$2:A36)+1)</f>
        <v>136</v>
      </c>
      <c r="B37" s="8" t="s">
        <v>38</v>
      </c>
      <c r="C37" s="22" t="str">
        <f>IF(ISNUMBER(SEARCH($D$1,B37)),LOOKUP(9.99999999999999E+307,C$1:C36)+1,"")</f>
        <v/>
      </c>
      <c r="E37" t="str">
        <f>IF(ROWS(E$2:E37)&gt;$E$1,"",LOOKUP(ROWS(E$2:E37),C:C,B:B))</f>
        <v/>
      </c>
    </row>
    <row r="38" spans="1:5">
      <c r="A38" s="2">
        <f>IF(B38="","",MAX($A$2:A37)+1)</f>
        <v>137</v>
      </c>
      <c r="B38" s="8" t="s">
        <v>39</v>
      </c>
      <c r="C38" s="22" t="str">
        <f>IF(ISNUMBER(SEARCH($D$1,B38)),LOOKUP(9.99999999999999E+307,C$1:C37)+1,"")</f>
        <v/>
      </c>
      <c r="E38" t="str">
        <f>IF(ROWS(E$2:E38)&gt;$E$1,"",LOOKUP(ROWS(E$2:E38),C:C,B:B))</f>
        <v/>
      </c>
    </row>
    <row r="39" spans="1:5">
      <c r="A39" s="2">
        <f>IF(B39="","",MAX($A$2:A38)+1)</f>
        <v>138</v>
      </c>
      <c r="B39" s="8" t="s">
        <v>40</v>
      </c>
      <c r="C39" s="22" t="str">
        <f>IF(ISNUMBER(SEARCH($D$1,B39)),LOOKUP(9.99999999999999E+307,C$1:C38)+1,"")</f>
        <v/>
      </c>
      <c r="E39" t="str">
        <f>IF(ROWS(E$2:E39)&gt;$E$1,"",LOOKUP(ROWS(E$2:E39),C:C,B:B))</f>
        <v/>
      </c>
    </row>
    <row r="40" spans="1:5">
      <c r="A40" s="2">
        <f>IF(B40="","",MAX($A$2:A39)+1)</f>
        <v>139</v>
      </c>
      <c r="B40" s="8" t="s">
        <v>41</v>
      </c>
      <c r="C40" s="22" t="str">
        <f>IF(ISNUMBER(SEARCH($D$1,B40)),LOOKUP(9.99999999999999E+307,C$1:C39)+1,"")</f>
        <v/>
      </c>
      <c r="E40" t="str">
        <f>IF(ROWS(E$2:E40)&gt;$E$1,"",LOOKUP(ROWS(E$2:E40),C:C,B:B))</f>
        <v/>
      </c>
    </row>
    <row r="41" spans="1:5">
      <c r="A41" s="2">
        <f>IF(B41="","",MAX($A$2:A40)+1)</f>
        <v>140</v>
      </c>
      <c r="B41" s="8" t="s">
        <v>42</v>
      </c>
      <c r="C41" s="22" t="str">
        <f>IF(ISNUMBER(SEARCH($D$1,B41)),LOOKUP(9.99999999999999E+307,C$1:C40)+1,"")</f>
        <v/>
      </c>
      <c r="E41" t="str">
        <f>IF(ROWS(E$2:E41)&gt;$E$1,"",LOOKUP(ROWS(E$2:E41),C:C,B:B))</f>
        <v/>
      </c>
    </row>
    <row r="42" spans="1:5">
      <c r="A42" s="2">
        <f>IF(B42="","",MAX($A$2:A41)+1)</f>
        <v>141</v>
      </c>
      <c r="B42" s="8" t="s">
        <v>43</v>
      </c>
      <c r="C42" s="22" t="str">
        <f>IF(ISNUMBER(SEARCH($D$1,B42)),LOOKUP(9.99999999999999E+307,C$1:C41)+1,"")</f>
        <v/>
      </c>
      <c r="E42" t="str">
        <f>IF(ROWS(E$2:E42)&gt;$E$1,"",LOOKUP(ROWS(E$2:E42),C:C,B:B))</f>
        <v/>
      </c>
    </row>
    <row r="43" spans="1:5">
      <c r="A43" s="2">
        <f>IF(B43="","",MAX($A$2:A42)+1)</f>
        <v>142</v>
      </c>
      <c r="B43" s="8" t="s">
        <v>44</v>
      </c>
      <c r="C43" s="22" t="str">
        <f>IF(ISNUMBER(SEARCH($D$1,B43)),LOOKUP(9.99999999999999E+307,C$1:C42)+1,"")</f>
        <v/>
      </c>
      <c r="E43" t="str">
        <f>IF(ROWS(E$2:E43)&gt;$E$1,"",LOOKUP(ROWS(E$2:E43),C:C,B:B))</f>
        <v/>
      </c>
    </row>
    <row r="44" spans="1:5">
      <c r="A44" s="2">
        <f>IF(B44="","",MAX($A$2:A43)+1)</f>
        <v>143</v>
      </c>
      <c r="B44" s="8" t="s">
        <v>45</v>
      </c>
      <c r="C44" s="22" t="str">
        <f>IF(ISNUMBER(SEARCH($D$1,B44)),LOOKUP(9.99999999999999E+307,C$1:C43)+1,"")</f>
        <v/>
      </c>
      <c r="E44" t="str">
        <f>IF(ROWS(E$2:E44)&gt;$E$1,"",LOOKUP(ROWS(E$2:E44),C:C,B:B))</f>
        <v/>
      </c>
    </row>
    <row r="45" spans="1:5">
      <c r="A45" s="2">
        <f>IF(B45="","",MAX($A$2:A44)+1)</f>
        <v>144</v>
      </c>
      <c r="B45" s="8" t="s">
        <v>46</v>
      </c>
      <c r="C45" s="22" t="str">
        <f>IF(ISNUMBER(SEARCH($D$1,B45)),LOOKUP(9.99999999999999E+307,C$1:C44)+1,"")</f>
        <v/>
      </c>
      <c r="E45" t="str">
        <f>IF(ROWS(E$2:E45)&gt;$E$1,"",LOOKUP(ROWS(E$2:E45),C:C,B:B))</f>
        <v/>
      </c>
    </row>
    <row r="46" spans="1:5">
      <c r="A46" s="2">
        <f>IF(B46="","",MAX($A$2:A45)+1)</f>
        <v>145</v>
      </c>
      <c r="B46" s="8" t="s">
        <v>47</v>
      </c>
      <c r="C46" s="22" t="str">
        <f>IF(ISNUMBER(SEARCH($D$1,B46)),LOOKUP(9.99999999999999E+307,C$1:C45)+1,"")</f>
        <v/>
      </c>
      <c r="E46" t="str">
        <f>IF(ROWS(E$2:E46)&gt;$E$1,"",LOOKUP(ROWS(E$2:E46),C:C,B:B))</f>
        <v/>
      </c>
    </row>
    <row r="47" spans="1:5">
      <c r="A47" s="2">
        <f>IF(B47="","",MAX($A$2:A46)+1)</f>
        <v>146</v>
      </c>
      <c r="B47" s="8" t="s">
        <v>48</v>
      </c>
      <c r="C47" s="22" t="str">
        <f>IF(ISNUMBER(SEARCH($D$1,B47)),LOOKUP(9.99999999999999E+307,C$1:C46)+1,"")</f>
        <v/>
      </c>
      <c r="E47" t="str">
        <f>IF(ROWS(E$2:E47)&gt;$E$1,"",LOOKUP(ROWS(E$2:E47),C:C,B:B))</f>
        <v/>
      </c>
    </row>
    <row r="48" spans="1:5">
      <c r="A48" s="2">
        <f>IF(B48="","",MAX($A$2:A47)+1)</f>
        <v>147</v>
      </c>
      <c r="B48" s="8" t="s">
        <v>49</v>
      </c>
      <c r="C48" s="22" t="str">
        <f>IF(ISNUMBER(SEARCH($D$1,B48)),LOOKUP(9.99999999999999E+307,C$1:C47)+1,"")</f>
        <v/>
      </c>
      <c r="E48" t="str">
        <f>IF(ROWS(E$2:E48)&gt;$E$1,"",LOOKUP(ROWS(E$2:E48),C:C,B:B))</f>
        <v/>
      </c>
    </row>
    <row r="49" spans="1:5">
      <c r="A49" s="2">
        <f>IF(B49="","",MAX($A$2:A48)+1)</f>
        <v>148</v>
      </c>
      <c r="B49" s="8" t="s">
        <v>50</v>
      </c>
      <c r="C49" s="22" t="str">
        <f>IF(ISNUMBER(SEARCH($D$1,B49)),LOOKUP(9.99999999999999E+307,C$1:C48)+1,"")</f>
        <v/>
      </c>
      <c r="E49" t="str">
        <f>IF(ROWS(E$2:E49)&gt;$E$1,"",LOOKUP(ROWS(E$2:E49),C:C,B:B))</f>
        <v/>
      </c>
    </row>
    <row r="50" spans="1:5">
      <c r="A50" s="2">
        <f>IF(B50="","",MAX($A$2:A49)+1)</f>
        <v>149</v>
      </c>
      <c r="B50" s="8" t="s">
        <v>51</v>
      </c>
      <c r="C50" s="22" t="str">
        <f>IF(ISNUMBER(SEARCH($D$1,B50)),LOOKUP(9.99999999999999E+307,C$1:C49)+1,"")</f>
        <v/>
      </c>
      <c r="E50" t="str">
        <f>IF(ROWS(E$2:E50)&gt;$E$1,"",LOOKUP(ROWS(E$2:E50),C:C,B:B))</f>
        <v/>
      </c>
    </row>
    <row r="51" spans="1:5">
      <c r="A51" s="2">
        <f>IF(B51="","",MAX($A$2:A50)+1)</f>
        <v>150</v>
      </c>
      <c r="B51" s="8" t="s">
        <v>52</v>
      </c>
      <c r="C51" s="22" t="str">
        <f>IF(ISNUMBER(SEARCH($D$1,B51)),LOOKUP(9.99999999999999E+307,C$1:C50)+1,"")</f>
        <v/>
      </c>
      <c r="E51" t="str">
        <f>IF(ROWS(E$2:E51)&gt;$E$1,"",LOOKUP(ROWS(E$2:E51),C:C,B:B))</f>
        <v/>
      </c>
    </row>
    <row r="52" spans="1:5">
      <c r="A52" s="2">
        <f>IF(B52="","",MAX($A$2:A51)+1)</f>
        <v>151</v>
      </c>
      <c r="B52" s="8" t="s">
        <v>53</v>
      </c>
      <c r="C52" s="22" t="str">
        <f>IF(ISNUMBER(SEARCH($D$1,B52)),LOOKUP(9.99999999999999E+307,C$1:C51)+1,"")</f>
        <v/>
      </c>
      <c r="E52" t="str">
        <f>IF(ROWS(E$2:E52)&gt;$E$1,"",LOOKUP(ROWS(E$2:E52),C:C,B:B))</f>
        <v/>
      </c>
    </row>
    <row r="53" spans="1:5">
      <c r="A53" s="2">
        <f>IF(B53="","",MAX($A$2:A52)+1)</f>
        <v>152</v>
      </c>
      <c r="B53" s="8" t="s">
        <v>111</v>
      </c>
      <c r="C53" s="22" t="str">
        <f>IF(ISNUMBER(SEARCH($D$1,B53)),LOOKUP(9.99999999999999E+307,C$1:C52)+1,"")</f>
        <v/>
      </c>
      <c r="E53" t="str">
        <f>IF(ROWS(E$2:E53)&gt;$E$1,"",LOOKUP(ROWS(E$2:E53),C:C,B:B))</f>
        <v/>
      </c>
    </row>
    <row r="54" spans="1:5">
      <c r="A54" s="2">
        <f>IF(B54="","",MAX($A$2:A53)+1)</f>
        <v>153</v>
      </c>
      <c r="B54" s="8" t="s">
        <v>54</v>
      </c>
      <c r="C54" s="22" t="str">
        <f>IF(ISNUMBER(SEARCH($D$1,B54)),LOOKUP(9.99999999999999E+307,C$1:C53)+1,"")</f>
        <v/>
      </c>
      <c r="E54" t="str">
        <f>IF(ROWS(E$2:E54)&gt;$E$1,"",LOOKUP(ROWS(E$2:E54),C:C,B:B))</f>
        <v/>
      </c>
    </row>
    <row r="55" spans="1:5">
      <c r="A55" s="2">
        <f>IF(B55="","",MAX($A$2:A54)+1)</f>
        <v>154</v>
      </c>
      <c r="B55" s="8" t="s">
        <v>55</v>
      </c>
      <c r="C55" s="22" t="str">
        <f>IF(ISNUMBER(SEARCH($D$1,B55)),LOOKUP(9.99999999999999E+307,C$1:C54)+1,"")</f>
        <v/>
      </c>
      <c r="E55" t="str">
        <f>IF(ROWS(E$2:E55)&gt;$E$1,"",LOOKUP(ROWS(E$2:E55),C:C,B:B))</f>
        <v/>
      </c>
    </row>
    <row r="56" spans="1:5">
      <c r="A56" s="2">
        <f>IF(B56="","",MAX($A$2:A55)+1)</f>
        <v>155</v>
      </c>
      <c r="B56" s="8" t="s">
        <v>56</v>
      </c>
      <c r="C56" s="22" t="str">
        <f>IF(ISNUMBER(SEARCH($D$1,B56)),LOOKUP(9.99999999999999E+307,C$1:C55)+1,"")</f>
        <v/>
      </c>
      <c r="E56" t="str">
        <f>IF(ROWS(E$2:E56)&gt;$E$1,"",LOOKUP(ROWS(E$2:E56),C:C,B:B))</f>
        <v/>
      </c>
    </row>
    <row r="57" spans="1:5">
      <c r="A57" s="2">
        <f>IF(B57="","",MAX($A$2:A56)+1)</f>
        <v>156</v>
      </c>
      <c r="B57" s="8" t="s">
        <v>57</v>
      </c>
      <c r="C57" s="22" t="str">
        <f>IF(ISNUMBER(SEARCH($D$1,B57)),LOOKUP(9.99999999999999E+307,C$1:C56)+1,"")</f>
        <v/>
      </c>
      <c r="E57" t="str">
        <f>IF(ROWS(E$2:E57)&gt;$E$1,"",LOOKUP(ROWS(E$2:E57),C:C,B:B))</f>
        <v/>
      </c>
    </row>
    <row r="58" spans="1:5">
      <c r="A58" s="2">
        <f>IF(B58="","",MAX($A$2:A57)+1)</f>
        <v>157</v>
      </c>
      <c r="B58" s="8" t="s">
        <v>58</v>
      </c>
      <c r="C58" s="22" t="str">
        <f>IF(ISNUMBER(SEARCH($D$1,B58)),LOOKUP(9.99999999999999E+307,C$1:C57)+1,"")</f>
        <v/>
      </c>
      <c r="E58" t="str">
        <f>IF(ROWS(E$2:E58)&gt;$E$1,"",LOOKUP(ROWS(E$2:E58),C:C,B:B))</f>
        <v/>
      </c>
    </row>
    <row r="59" spans="1:5">
      <c r="A59" s="2">
        <f>IF(B59="","",MAX($A$2:A58)+1)</f>
        <v>158</v>
      </c>
      <c r="B59" s="8" t="s">
        <v>76</v>
      </c>
      <c r="C59" s="22" t="str">
        <f>IF(ISNUMBER(SEARCH($D$1,B59)),LOOKUP(9.99999999999999E+307,C$1:C58)+1,"")</f>
        <v/>
      </c>
      <c r="E59" t="str">
        <f>IF(ROWS(E$2:E59)&gt;$E$1,"",LOOKUP(ROWS(E$2:E59),C:C,B:B))</f>
        <v/>
      </c>
    </row>
    <row r="60" spans="1:5">
      <c r="A60" s="2">
        <f>IF(B60="","",MAX($A$2:A59)+1)</f>
        <v>159</v>
      </c>
      <c r="B60" s="8" t="s">
        <v>77</v>
      </c>
      <c r="C60" s="22" t="str">
        <f>IF(ISNUMBER(SEARCH($D$1,B60)),LOOKUP(9.99999999999999E+307,C$1:C59)+1,"")</f>
        <v/>
      </c>
      <c r="E60" t="str">
        <f>IF(ROWS(E$2:E60)&gt;$E$1,"",LOOKUP(ROWS(E$2:E60),C:C,B:B))</f>
        <v/>
      </c>
    </row>
    <row r="61" spans="1:5">
      <c r="A61" s="2">
        <f>IF(B61="","",MAX($A$2:A60)+1)</f>
        <v>160</v>
      </c>
      <c r="B61" s="8" t="s">
        <v>78</v>
      </c>
      <c r="C61" s="22" t="str">
        <f>IF(ISNUMBER(SEARCH($D$1,B61)),LOOKUP(9.99999999999999E+307,C$1:C60)+1,"")</f>
        <v/>
      </c>
      <c r="E61" t="str">
        <f>IF(ROWS(E$2:E61)&gt;$E$1,"",LOOKUP(ROWS(E$2:E61),C:C,B:B))</f>
        <v/>
      </c>
    </row>
    <row r="62" spans="1:5">
      <c r="A62" s="2">
        <f>IF(B62="","",MAX($A$2:A61)+1)</f>
        <v>161</v>
      </c>
      <c r="B62" s="8" t="s">
        <v>79</v>
      </c>
      <c r="C62" s="22" t="str">
        <f>IF(ISNUMBER(SEARCH($D$1,B62)),LOOKUP(9.99999999999999E+307,C$1:C61)+1,"")</f>
        <v/>
      </c>
      <c r="E62" t="str">
        <f>IF(ROWS(E$2:E62)&gt;$E$1,"",LOOKUP(ROWS(E$2:E62),C:C,B:B))</f>
        <v/>
      </c>
    </row>
    <row r="63" spans="1:5">
      <c r="A63" s="2">
        <f>IF(B63="","",MAX($A$2:A62)+1)</f>
        <v>162</v>
      </c>
      <c r="B63" s="8" t="s">
        <v>80</v>
      </c>
      <c r="C63" s="22" t="str">
        <f>IF(ISNUMBER(SEARCH($D$1,B63)),LOOKUP(9.99999999999999E+307,C$1:C62)+1,"")</f>
        <v/>
      </c>
      <c r="E63" t="str">
        <f>IF(ROWS(E$2:E63)&gt;$E$1,"",LOOKUP(ROWS(E$2:E63),C:C,B:B))</f>
        <v/>
      </c>
    </row>
    <row r="64" spans="1:5">
      <c r="A64" s="2">
        <f>IF(B64="","",MAX($A$2:A63)+1)</f>
        <v>163</v>
      </c>
      <c r="B64" s="8" t="s">
        <v>81</v>
      </c>
      <c r="C64" s="22" t="str">
        <f>IF(ISNUMBER(SEARCH($D$1,B64)),LOOKUP(9.99999999999999E+307,C$1:C63)+1,"")</f>
        <v/>
      </c>
      <c r="E64" t="str">
        <f>IF(ROWS(E$2:E64)&gt;$E$1,"",LOOKUP(ROWS(E$2:E64),C:C,B:B))</f>
        <v/>
      </c>
    </row>
    <row r="65" spans="1:5">
      <c r="A65" s="2">
        <f>IF(B65="","",MAX($A$2:A64)+1)</f>
        <v>164</v>
      </c>
      <c r="B65" s="8" t="s">
        <v>82</v>
      </c>
      <c r="C65" s="22" t="str">
        <f>IF(ISNUMBER(SEARCH($D$1,B65)),LOOKUP(9.99999999999999E+307,C$1:C64)+1,"")</f>
        <v/>
      </c>
      <c r="E65" t="str">
        <f>IF(ROWS(E$2:E65)&gt;$E$1,"",LOOKUP(ROWS(E$2:E65),C:C,B:B))</f>
        <v/>
      </c>
    </row>
    <row r="66" spans="1:5">
      <c r="A66" s="2">
        <f>IF(B66="","",MAX($A$2:A65)+1)</f>
        <v>165</v>
      </c>
      <c r="B66" s="8" t="s">
        <v>83</v>
      </c>
      <c r="C66" s="22" t="str">
        <f>IF(ISNUMBER(SEARCH($D$1,B66)),LOOKUP(9.99999999999999E+307,C$1:C65)+1,"")</f>
        <v/>
      </c>
      <c r="E66" t="str">
        <f>IF(ROWS(E$2:E66)&gt;$E$1,"",LOOKUP(ROWS(E$2:E66),C:C,B:B))</f>
        <v/>
      </c>
    </row>
    <row r="67" spans="1:5">
      <c r="A67" s="2">
        <f>IF(B67="","",MAX($A$2:A66)+1)</f>
        <v>166</v>
      </c>
      <c r="B67" s="8" t="s">
        <v>84</v>
      </c>
      <c r="C67" s="22" t="str">
        <f>IF(ISNUMBER(SEARCH($D$1,B67)),LOOKUP(9.99999999999999E+307,C$1:C66)+1,"")</f>
        <v/>
      </c>
      <c r="E67" t="str">
        <f>IF(ROWS(E$2:E67)&gt;$E$1,"",LOOKUP(ROWS(E$2:E67),C:C,B:B))</f>
        <v/>
      </c>
    </row>
    <row r="68" spans="1:5">
      <c r="A68" s="2">
        <f>IF(B68="","",MAX($A$2:A67)+1)</f>
        <v>167</v>
      </c>
      <c r="B68" s="8" t="s">
        <v>85</v>
      </c>
      <c r="C68" s="22" t="str">
        <f>IF(ISNUMBER(SEARCH($D$1,B68)),LOOKUP(9.99999999999999E+307,C$1:C67)+1,"")</f>
        <v/>
      </c>
      <c r="E68" t="str">
        <f>IF(ROWS(E$2:E68)&gt;$E$1,"",LOOKUP(ROWS(E$2:E68),C:C,B:B))</f>
        <v/>
      </c>
    </row>
    <row r="69" spans="1:5">
      <c r="A69" s="2">
        <f>IF(B69="","",MAX($A$2:A68)+1)</f>
        <v>168</v>
      </c>
      <c r="B69" s="8" t="s">
        <v>86</v>
      </c>
      <c r="C69" s="22" t="str">
        <f>IF(ISNUMBER(SEARCH($D$1,B69)),LOOKUP(9.99999999999999E+307,C$1:C68)+1,"")</f>
        <v/>
      </c>
      <c r="E69" t="str">
        <f>IF(ROWS(E$2:E69)&gt;$E$1,"",LOOKUP(ROWS(E$2:E69),C:C,B:B))</f>
        <v/>
      </c>
    </row>
    <row r="70" spans="1:5">
      <c r="A70" s="2">
        <f>IF(B70="","",MAX($A$2:A69)+1)</f>
        <v>169</v>
      </c>
      <c r="B70" s="8" t="s">
        <v>87</v>
      </c>
      <c r="C70" s="22" t="str">
        <f>IF(ISNUMBER(SEARCH($D$1,B70)),LOOKUP(9.99999999999999E+307,C$1:C69)+1,"")</f>
        <v/>
      </c>
      <c r="E70" t="str">
        <f>IF(ROWS(E$2:E70)&gt;$E$1,"",LOOKUP(ROWS(E$2:E70),C:C,B:B))</f>
        <v/>
      </c>
    </row>
    <row r="71" spans="1:5">
      <c r="A71" s="2">
        <f>IF(B71="","",MAX($A$2:A70)+1)</f>
        <v>170</v>
      </c>
      <c r="B71" s="8" t="s">
        <v>88</v>
      </c>
      <c r="C71" s="22" t="str">
        <f>IF(ISNUMBER(SEARCH($D$1,B71)),LOOKUP(9.99999999999999E+307,C$1:C70)+1,"")</f>
        <v/>
      </c>
      <c r="E71" t="str">
        <f>IF(ROWS(E$2:E71)&gt;$E$1,"",LOOKUP(ROWS(E$2:E71),C:C,B:B))</f>
        <v/>
      </c>
    </row>
    <row r="72" spans="1:5">
      <c r="A72" s="2">
        <f>IF(B72="","",MAX($A$2:A71)+1)</f>
        <v>171</v>
      </c>
      <c r="B72" s="8" t="s">
        <v>89</v>
      </c>
      <c r="C72" s="22" t="str">
        <f>IF(ISNUMBER(SEARCH($D$1,B72)),LOOKUP(9.99999999999999E+307,C$1:C71)+1,"")</f>
        <v/>
      </c>
      <c r="E72" t="str">
        <f>IF(ROWS(E$2:E72)&gt;$E$1,"",LOOKUP(ROWS(E$2:E72),C:C,B:B))</f>
        <v/>
      </c>
    </row>
    <row r="73" spans="1:5">
      <c r="A73" s="2">
        <f>IF(B73="","",MAX($A$2:A72)+1)</f>
        <v>172</v>
      </c>
      <c r="B73" s="8" t="s">
        <v>90</v>
      </c>
      <c r="C73" s="22" t="str">
        <f>IF(ISNUMBER(SEARCH($D$1,B73)),LOOKUP(9.99999999999999E+307,C$1:C72)+1,"")</f>
        <v/>
      </c>
      <c r="E73" t="str">
        <f>IF(ROWS(E$2:E73)&gt;$E$1,"",LOOKUP(ROWS(E$2:E73),C:C,B:B))</f>
        <v/>
      </c>
    </row>
    <row r="74" spans="1:5">
      <c r="A74" s="2">
        <f>IF(B74="","",MAX($A$2:A73)+1)</f>
        <v>173</v>
      </c>
      <c r="B74" s="8" t="s">
        <v>91</v>
      </c>
      <c r="C74" s="22" t="str">
        <f>IF(ISNUMBER(SEARCH($D$1,B74)),LOOKUP(9.99999999999999E+307,C$1:C73)+1,"")</f>
        <v/>
      </c>
      <c r="E74" t="str">
        <f>IF(ROWS(E$2:E74)&gt;$E$1,"",LOOKUP(ROWS(E$2:E74),C:C,B:B))</f>
        <v/>
      </c>
    </row>
    <row r="75" spans="1:5">
      <c r="A75" s="2">
        <f>IF(B75="","",MAX($A$2:A74)+1)</f>
        <v>174</v>
      </c>
      <c r="B75" s="8" t="s">
        <v>92</v>
      </c>
      <c r="C75" s="22" t="str">
        <f>IF(ISNUMBER(SEARCH($D$1,B75)),LOOKUP(9.99999999999999E+307,C$1:C74)+1,"")</f>
        <v/>
      </c>
      <c r="E75" t="str">
        <f>IF(ROWS(E$2:E75)&gt;$E$1,"",LOOKUP(ROWS(E$2:E75),C:C,B:B))</f>
        <v/>
      </c>
    </row>
    <row r="76" spans="1:5">
      <c r="A76" s="2">
        <f>IF(B76="","",MAX($A$2:A75)+1)</f>
        <v>175</v>
      </c>
      <c r="B76" s="8" t="s">
        <v>93</v>
      </c>
      <c r="C76" s="22" t="str">
        <f>IF(ISNUMBER(SEARCH($D$1,B76)),LOOKUP(9.99999999999999E+307,C$1:C75)+1,"")</f>
        <v/>
      </c>
      <c r="E76" t="str">
        <f>IF(ROWS(E$2:E76)&gt;$E$1,"",LOOKUP(ROWS(E$2:E76),C:C,B:B))</f>
        <v/>
      </c>
    </row>
    <row r="77" spans="1:5">
      <c r="A77" s="2">
        <f>IF(B77="","",MAX($A$2:A76)+1)</f>
        <v>176</v>
      </c>
      <c r="B77" s="8" t="s">
        <v>94</v>
      </c>
      <c r="C77" s="22" t="str">
        <f>IF(ISNUMBER(SEARCH($D$1,B77)),LOOKUP(9.99999999999999E+307,C$1:C76)+1,"")</f>
        <v/>
      </c>
      <c r="E77" t="str">
        <f>IF(ROWS(E$2:E77)&gt;$E$1,"",LOOKUP(ROWS(E$2:E77),C:C,B:B))</f>
        <v/>
      </c>
    </row>
    <row r="78" spans="1:5">
      <c r="A78" s="2">
        <f>IF(B78="","",MAX($A$2:A77)+1)</f>
        <v>177</v>
      </c>
      <c r="B78" s="8" t="s">
        <v>95</v>
      </c>
      <c r="C78" s="22" t="str">
        <f>IF(ISNUMBER(SEARCH($D$1,B78)),LOOKUP(9.99999999999999E+307,C$1:C77)+1,"")</f>
        <v/>
      </c>
      <c r="E78" t="str">
        <f>IF(ROWS(E$2:E78)&gt;$E$1,"",LOOKUP(ROWS(E$2:E78),C:C,B:B))</f>
        <v/>
      </c>
    </row>
    <row r="79" spans="1:5">
      <c r="A79" s="2">
        <f>IF(B79="","",MAX($A$2:A78)+1)</f>
        <v>178</v>
      </c>
      <c r="B79" s="8" t="s">
        <v>96</v>
      </c>
      <c r="C79" s="22" t="str">
        <f>IF(ISNUMBER(SEARCH($D$1,B79)),LOOKUP(9.99999999999999E+307,C$1:C78)+1,"")</f>
        <v/>
      </c>
      <c r="E79" t="str">
        <f>IF(ROWS(E$2:E79)&gt;$E$1,"",LOOKUP(ROWS(E$2:E79),C:C,B:B))</f>
        <v/>
      </c>
    </row>
    <row r="80" spans="1:5">
      <c r="A80" s="2">
        <f>IF(B80="","",MAX($A$2:A79)+1)</f>
        <v>179</v>
      </c>
      <c r="B80" s="8" t="s">
        <v>97</v>
      </c>
      <c r="C80" s="22" t="str">
        <f>IF(ISNUMBER(SEARCH($D$1,B80)),LOOKUP(9.99999999999999E+307,C$1:C79)+1,"")</f>
        <v/>
      </c>
      <c r="E80" t="str">
        <f>IF(ROWS(E$2:E80)&gt;$E$1,"",LOOKUP(ROWS(E$2:E80),C:C,B:B))</f>
        <v/>
      </c>
    </row>
    <row r="81" spans="1:5">
      <c r="A81" s="2">
        <f>IF(B81="","",MAX($A$2:A80)+1)</f>
        <v>180</v>
      </c>
      <c r="B81" s="8" t="s">
        <v>98</v>
      </c>
      <c r="C81" s="22" t="str">
        <f>IF(ISNUMBER(SEARCH($D$1,B81)),LOOKUP(9.99999999999999E+307,C$1:C80)+1,"")</f>
        <v/>
      </c>
      <c r="E81" t="str">
        <f>IF(ROWS(E$2:E81)&gt;$E$1,"",LOOKUP(ROWS(E$2:E81),C:C,B:B))</f>
        <v/>
      </c>
    </row>
    <row r="82" spans="1:5">
      <c r="A82" s="2">
        <f>IF(B82="","",MAX($A$2:A81)+1)</f>
        <v>181</v>
      </c>
      <c r="B82" s="8" t="s">
        <v>99</v>
      </c>
      <c r="C82" s="22" t="str">
        <f>IF(ISNUMBER(SEARCH($D$1,B82)),LOOKUP(9.99999999999999E+307,C$1:C81)+1,"")</f>
        <v/>
      </c>
      <c r="E82" t="str">
        <f>IF(ROWS(E$2:E82)&gt;$E$1,"",LOOKUP(ROWS(E$2:E82),C:C,B:B))</f>
        <v/>
      </c>
    </row>
    <row r="83" spans="1:5">
      <c r="A83" s="2">
        <f>IF(B83="","",MAX($A$2:A82)+1)</f>
        <v>182</v>
      </c>
      <c r="B83" s="8" t="s">
        <v>100</v>
      </c>
      <c r="C83" s="22" t="str">
        <f>IF(ISNUMBER(SEARCH($D$1,B83)),LOOKUP(9.99999999999999E+307,C$1:C82)+1,"")</f>
        <v/>
      </c>
      <c r="E83" t="str">
        <f>IF(ROWS(E$2:E83)&gt;$E$1,"",LOOKUP(ROWS(E$2:E83),C:C,B:B))</f>
        <v/>
      </c>
    </row>
    <row r="84" spans="1:5">
      <c r="A84" s="2">
        <f>IF(B84="","",MAX($A$2:A83)+1)</f>
        <v>183</v>
      </c>
      <c r="B84" s="8" t="s">
        <v>101</v>
      </c>
      <c r="C84" s="22" t="str">
        <f>IF(ISNUMBER(SEARCH($D$1,B84)),LOOKUP(9.99999999999999E+307,C$1:C83)+1,"")</f>
        <v/>
      </c>
      <c r="E84" t="str">
        <f>IF(ROWS(E$2:E84)&gt;$E$1,"",LOOKUP(ROWS(E$2:E84),C:C,B:B))</f>
        <v/>
      </c>
    </row>
    <row r="85" spans="1:5">
      <c r="A85" s="2">
        <f>IF(B85="","",MAX($A$2:A84)+1)</f>
        <v>184</v>
      </c>
      <c r="B85" s="8" t="s">
        <v>102</v>
      </c>
      <c r="C85" s="22" t="str">
        <f>IF(ISNUMBER(SEARCH($D$1,B85)),LOOKUP(9.99999999999999E+307,C$1:C84)+1,"")</f>
        <v/>
      </c>
      <c r="E85" t="str">
        <f>IF(ROWS(E$2:E85)&gt;$E$1,"",LOOKUP(ROWS(E$2:E85),C:C,B:B))</f>
        <v/>
      </c>
    </row>
    <row r="86" spans="1:5">
      <c r="A86" s="2">
        <f>IF(B86="","",MAX($A$2:A85)+1)</f>
        <v>185</v>
      </c>
      <c r="B86" s="8" t="s">
        <v>107</v>
      </c>
      <c r="C86" s="22" t="str">
        <f>IF(ISNUMBER(SEARCH($D$1,B86)),LOOKUP(9.99999999999999E+307,C$1:C85)+1,"")</f>
        <v/>
      </c>
      <c r="E86" t="str">
        <f>IF(ROWS(E$2:E86)&gt;$E$1,"",LOOKUP(ROWS(E$2:E86),C:C,B:B))</f>
        <v/>
      </c>
    </row>
    <row r="87" spans="1:5">
      <c r="A87" s="2">
        <f>IF(B87="","",MAX($A$2:A86)+1)</f>
        <v>186</v>
      </c>
      <c r="B87" s="8" t="s">
        <v>106</v>
      </c>
      <c r="C87" s="22" t="str">
        <f>IF(ISNUMBER(SEARCH($D$1,B87)),LOOKUP(9.99999999999999E+307,C$1:C86)+1,"")</f>
        <v/>
      </c>
      <c r="E87" t="str">
        <f>IF(ROWS(E$2:E87)&gt;$E$1,"",LOOKUP(ROWS(E$2:E87),C:C,B:B))</f>
        <v/>
      </c>
    </row>
    <row r="88" spans="1:5">
      <c r="A88" s="2">
        <f>IF(B88="","",MAX($A$2:A87)+1)</f>
        <v>187</v>
      </c>
      <c r="B88" s="8" t="s">
        <v>108</v>
      </c>
      <c r="C88" s="22" t="str">
        <f>IF(ISNUMBER(SEARCH($D$1,B88)),LOOKUP(9.99999999999999E+307,C$1:C87)+1,"")</f>
        <v/>
      </c>
      <c r="E88" t="str">
        <f>IF(ROWS(E$2:E88)&gt;$E$1,"",LOOKUP(ROWS(E$2:E88),C:C,B:B))</f>
        <v/>
      </c>
    </row>
    <row r="89" spans="1:5">
      <c r="A89" s="2">
        <f>IF(B89="","",MAX($A$2:A88)+1)</f>
        <v>188</v>
      </c>
      <c r="B89" s="8" t="s">
        <v>103</v>
      </c>
      <c r="C89" s="22" t="str">
        <f>IF(ISNUMBER(SEARCH($D$1,B89)),LOOKUP(9.99999999999999E+307,C$1:C88)+1,"")</f>
        <v/>
      </c>
      <c r="E89" t="str">
        <f>IF(ROWS(E$2:E89)&gt;$E$1,"",LOOKUP(ROWS(E$2:E89),C:C,B:B))</f>
        <v/>
      </c>
    </row>
    <row r="90" spans="1:5">
      <c r="A90" s="2">
        <f>IF(B90="","",MAX($A$2:A89)+1)</f>
        <v>189</v>
      </c>
      <c r="B90" s="8" t="s">
        <v>104</v>
      </c>
      <c r="C90" s="22" t="str">
        <f>IF(ISNUMBER(SEARCH($D$1,B90)),LOOKUP(9.99999999999999E+307,C$1:C89)+1,"")</f>
        <v/>
      </c>
      <c r="E90" t="str">
        <f>IF(ROWS(E$2:E90)&gt;$E$1,"",LOOKUP(ROWS(E$2:E90),C:C,B:B))</f>
        <v/>
      </c>
    </row>
    <row r="91" spans="1:5">
      <c r="A91" s="2">
        <f>IF(B91="","",MAX($A$2:A90)+1)</f>
        <v>190</v>
      </c>
      <c r="B91" s="8" t="s">
        <v>105</v>
      </c>
      <c r="C91" s="22" t="str">
        <f>IF(ISNUMBER(SEARCH($D$1,B91)),LOOKUP(9.99999999999999E+307,C$1:C90)+1,"")</f>
        <v/>
      </c>
      <c r="E91" t="str">
        <f>IF(ROWS(E$2:E91)&gt;$E$1,"",LOOKUP(ROWS(E$2:E91),C:C,B:B))</f>
        <v/>
      </c>
    </row>
    <row r="92" spans="1:5">
      <c r="A92" s="2">
        <f>IF(B92="","",MAX($A$2:A91)+1)</f>
        <v>191</v>
      </c>
      <c r="B92" s="8" t="s">
        <v>109</v>
      </c>
      <c r="C92" s="22" t="str">
        <f>IF(ISNUMBER(SEARCH($D$1,B92)),LOOKUP(9.99999999999999E+307,C$1:C91)+1,"")</f>
        <v/>
      </c>
      <c r="E92" t="str">
        <f>IF(ROWS(E$2:E92)&gt;$E$1,"",LOOKUP(ROWS(E$2:E92),C:C,B:B))</f>
        <v/>
      </c>
    </row>
    <row r="93" spans="1:5">
      <c r="A93" s="2">
        <f>IF(B93="","",MAX($A$2:A92)+1)</f>
        <v>192</v>
      </c>
      <c r="B93" s="8" t="s">
        <v>110</v>
      </c>
      <c r="C93" s="22" t="str">
        <f>IF(ISNUMBER(SEARCH($D$1,B93)),LOOKUP(9.99999999999999E+307,C$1:C92)+1,"")</f>
        <v/>
      </c>
      <c r="E93" t="str">
        <f>IF(ROWS(E$2:E93)&gt;$E$1,"",LOOKUP(ROWS(E$2:E93),C:C,B:B))</f>
        <v/>
      </c>
    </row>
    <row r="94" spans="1:5">
      <c r="A94" s="2">
        <f>IF(B94="","",MAX($A$2:A93)+1)</f>
        <v>193</v>
      </c>
      <c r="B94" s="8" t="s">
        <v>112</v>
      </c>
      <c r="C94" s="22" t="str">
        <f>IF(ISNUMBER(SEARCH($D$1,B94)),LOOKUP(9.99999999999999E+307,C$1:C93)+1,"")</f>
        <v/>
      </c>
      <c r="E94" t="str">
        <f>IF(ROWS(E$2:E94)&gt;$E$1,"",LOOKUP(ROWS(E$2:E94),C:C,B:B))</f>
        <v/>
      </c>
    </row>
    <row r="95" spans="1:5">
      <c r="A95" s="2">
        <f>IF(B95="","",MAX($A$2:A94)+1)</f>
        <v>194</v>
      </c>
      <c r="B95" s="8" t="s">
        <v>113</v>
      </c>
      <c r="C95" s="22" t="str">
        <f>IF(ISNUMBER(SEARCH($D$1,B95)),LOOKUP(9.99999999999999E+307,C$1:C94)+1,"")</f>
        <v/>
      </c>
      <c r="E95" t="str">
        <f>IF(ROWS(E$2:E95)&gt;$E$1,"",LOOKUP(ROWS(E$2:E95),C:C,B:B))</f>
        <v/>
      </c>
    </row>
    <row r="96" spans="1:5">
      <c r="A96" s="2">
        <f>IF(B96="","",MAX($A$2:A95)+1)</f>
        <v>195</v>
      </c>
      <c r="B96" s="8" t="s">
        <v>114</v>
      </c>
      <c r="C96" s="22" t="str">
        <f>IF(ISNUMBER(SEARCH($D$1,B96)),LOOKUP(9.99999999999999E+307,C$1:C95)+1,"")</f>
        <v/>
      </c>
      <c r="E96" t="str">
        <f>IF(ROWS(E$2:E96)&gt;$E$1,"",LOOKUP(ROWS(E$2:E96),C:C,B:B))</f>
        <v/>
      </c>
    </row>
    <row r="97" spans="1:5">
      <c r="A97" s="2" t="str">
        <f>IF(B97="","",MAX($A$2:A96)+1)</f>
        <v/>
      </c>
      <c r="B97" s="8"/>
      <c r="C97" s="22" t="str">
        <f>IF(ISNUMBER(SEARCH($D$1,B97)),LOOKUP(9.99999999999999E+307,C$1:C96)+1,"")</f>
        <v/>
      </c>
      <c r="E97" t="str">
        <f>IF(ROWS(E$2:E97)&gt;$E$1,"",LOOKUP(ROWS(E$2:E97),C:C,B:B))</f>
        <v/>
      </c>
    </row>
    <row r="98" spans="1:5">
      <c r="A98" s="2" t="str">
        <f>IF(B98="","",MAX($A$2:A97)+1)</f>
        <v/>
      </c>
      <c r="B98" s="8"/>
      <c r="C98" s="22" t="str">
        <f>IF(ISNUMBER(SEARCH($D$1,B98)),LOOKUP(9.99999999999999E+307,C$1:C97)+1,"")</f>
        <v/>
      </c>
      <c r="E98" t="str">
        <f>IF(ROWS(E$2:E98)&gt;$E$1,"",LOOKUP(ROWS(E$2:E98),C:C,B:B))</f>
        <v/>
      </c>
    </row>
    <row r="99" spans="1:5">
      <c r="A99" s="2" t="str">
        <f>IF(B99="","",MAX($A$2:A98)+1)</f>
        <v/>
      </c>
      <c r="B99" s="8"/>
      <c r="C99" s="22" t="str">
        <f>IF(ISNUMBER(SEARCH($D$1,B99)),LOOKUP(9.99999999999999E+307,C$1:C98)+1,"")</f>
        <v/>
      </c>
      <c r="E99" t="str">
        <f>IF(ROWS(E$2:E99)&gt;$E$1,"",LOOKUP(ROWS(E$2:E99),C:C,B:B))</f>
        <v/>
      </c>
    </row>
    <row r="100" spans="1:5">
      <c r="A100" s="2" t="str">
        <f>IF(B100="","",MAX($A$2:A99)+1)</f>
        <v/>
      </c>
      <c r="B100" s="8"/>
      <c r="C100" s="22" t="str">
        <f>IF(ISNUMBER(SEARCH($D$1,B100)),LOOKUP(9.99999999999999E+307,C$1:C99)+1,"")</f>
        <v/>
      </c>
      <c r="E100" t="str">
        <f>IF(ROWS(E$2:E100)&gt;$E$1,"",LOOKUP(ROWS(E$2:E100),C:C,B:B))</f>
        <v/>
      </c>
    </row>
    <row r="101" spans="1:5">
      <c r="A101" s="2" t="str">
        <f>IF(B101="","",MAX($A$2:A100)+1)</f>
        <v/>
      </c>
      <c r="B101" s="8"/>
      <c r="C101" s="22" t="str">
        <f>IF(ISNUMBER(SEARCH($D$1,B101)),LOOKUP(9.99999999999999E+307,C$1:C100)+1,"")</f>
        <v/>
      </c>
      <c r="E101" t="str">
        <f>IF(ROWS(E$2:E101)&gt;$E$1,"",LOOKUP(ROWS(E$2:E101),C:C,B:B))</f>
        <v/>
      </c>
    </row>
    <row r="102" spans="1:5">
      <c r="A102" s="2" t="str">
        <f>IF(B102="","",MAX($A$2:A101)+1)</f>
        <v/>
      </c>
      <c r="B102" s="8"/>
      <c r="C102" s="22" t="str">
        <f>IF(ISNUMBER(SEARCH($D$1,B102)),LOOKUP(9.99999999999999E+307,C$1:C101)+1,"")</f>
        <v/>
      </c>
      <c r="E102" t="str">
        <f>IF(ROWS(E$2:E102)&gt;$E$1,"",LOOKUP(ROWS(E$2:E102),C:C,B:B))</f>
        <v/>
      </c>
    </row>
    <row r="103" spans="1:5">
      <c r="A103" s="2" t="str">
        <f>IF(B103="","",MAX($A$2:A102)+1)</f>
        <v/>
      </c>
      <c r="B103" s="8"/>
      <c r="C103" s="22" t="str">
        <f>IF(ISNUMBER(SEARCH($D$1,B103)),LOOKUP(9.99999999999999E+307,C$1:C102)+1,"")</f>
        <v/>
      </c>
      <c r="E103" t="str">
        <f>IF(ROWS(E$2:E103)&gt;$E$1,"",LOOKUP(ROWS(E$2:E103),C:C,B:B))</f>
        <v/>
      </c>
    </row>
    <row r="104" spans="1:5">
      <c r="A104" s="2" t="str">
        <f>IF(B104="","",MAX($A$2:A103)+1)</f>
        <v/>
      </c>
      <c r="B104" s="8"/>
      <c r="C104" s="22" t="str">
        <f>IF(ISNUMBER(SEARCH($D$1,B104)),LOOKUP(9.99999999999999E+307,C$1:C103)+1,"")</f>
        <v/>
      </c>
      <c r="E104" t="str">
        <f>IF(ROWS(E$2:E104)&gt;$E$1,"",LOOKUP(ROWS(E$2:E104),C:C,B:B))</f>
        <v/>
      </c>
    </row>
    <row r="105" spans="1:5">
      <c r="A105" s="2" t="str">
        <f>IF(B105="","",MAX($A$2:A104)+1)</f>
        <v/>
      </c>
      <c r="B105" s="8"/>
      <c r="C105" s="22" t="str">
        <f>IF(ISNUMBER(SEARCH($D$1,B105)),LOOKUP(9.99999999999999E+307,C$1:C104)+1,"")</f>
        <v/>
      </c>
      <c r="E105" t="str">
        <f>IF(ROWS(E$2:E105)&gt;$E$1,"",LOOKUP(ROWS(E$2:E105),C:C,B:B))</f>
        <v/>
      </c>
    </row>
    <row r="106" spans="1:5">
      <c r="A106" s="2" t="str">
        <f>IF(B106="","",MAX($A$2:A105)+1)</f>
        <v/>
      </c>
      <c r="B106" s="8"/>
      <c r="C106" s="22" t="str">
        <f>IF(ISNUMBER(SEARCH($D$1,B106)),LOOKUP(9.99999999999999E+307,C$1:C105)+1,"")</f>
        <v/>
      </c>
      <c r="E106" t="str">
        <f>IF(ROWS(E$2:E106)&gt;$E$1,"",LOOKUP(ROWS(E$2:E106),C:C,B:B))</f>
        <v/>
      </c>
    </row>
    <row r="107" spans="1:5">
      <c r="A107" s="2" t="str">
        <f>IF(B107="","",MAX($A$2:A106)+1)</f>
        <v/>
      </c>
      <c r="B107" s="8"/>
      <c r="C107" s="22" t="str">
        <f>IF(ISNUMBER(SEARCH($D$1,B107)),LOOKUP(9.99999999999999E+307,C$1:C106)+1,"")</f>
        <v/>
      </c>
      <c r="E107" t="str">
        <f>IF(ROWS(E$2:E107)&gt;$E$1,"",LOOKUP(ROWS(E$2:E107),C:C,B:B))</f>
        <v/>
      </c>
    </row>
    <row r="108" spans="1:5">
      <c r="A108" s="2" t="str">
        <f>IF(B108="","",MAX($A$2:A107)+1)</f>
        <v/>
      </c>
      <c r="B108" s="8"/>
      <c r="C108" s="22" t="str">
        <f>IF(ISNUMBER(SEARCH($D$1,B108)),LOOKUP(9.99999999999999E+307,C$1:C107)+1,"")</f>
        <v/>
      </c>
      <c r="E108" t="str">
        <f>IF(ROWS(E$2:E108)&gt;$E$1,"",LOOKUP(ROWS(E$2:E108),C:C,B:B))</f>
        <v/>
      </c>
    </row>
    <row r="109" spans="1:5">
      <c r="A109" s="2" t="str">
        <f>IF(B109="","",MAX($A$2:A108)+1)</f>
        <v/>
      </c>
      <c r="B109" s="8"/>
      <c r="C109" s="22" t="str">
        <f>IF(ISNUMBER(SEARCH($D$1,B109)),LOOKUP(9.99999999999999E+307,C$1:C108)+1,"")</f>
        <v/>
      </c>
      <c r="E109" t="str">
        <f>IF(ROWS(E$2:E109)&gt;$E$1,"",LOOKUP(ROWS(E$2:E109),C:C,B:B))</f>
        <v/>
      </c>
    </row>
    <row r="110" spans="1:5">
      <c r="A110" s="2" t="str">
        <f>IF(B110="","",MAX($A$2:A109)+1)</f>
        <v/>
      </c>
      <c r="B110" s="8"/>
      <c r="C110" s="22" t="str">
        <f>IF(ISNUMBER(SEARCH($D$1,B110)),LOOKUP(9.99999999999999E+307,C$1:C109)+1,"")</f>
        <v/>
      </c>
      <c r="E110" t="str">
        <f>IF(ROWS(E$2:E110)&gt;$E$1,"",LOOKUP(ROWS(E$2:E110),C:C,B:B))</f>
        <v/>
      </c>
    </row>
    <row r="111" spans="1:5">
      <c r="A111" s="2" t="str">
        <f>IF(B111="","",MAX($A$2:A110)+1)</f>
        <v/>
      </c>
      <c r="B111" s="8"/>
      <c r="C111" s="22" t="str">
        <f>IF(ISNUMBER(SEARCH($D$1,B111)),LOOKUP(9.99999999999999E+307,C$1:C110)+1,"")</f>
        <v/>
      </c>
      <c r="E111" t="str">
        <f>IF(ROWS(E$2:E111)&gt;$E$1,"",LOOKUP(ROWS(E$2:E111),C:C,B:B))</f>
        <v/>
      </c>
    </row>
    <row r="112" spans="1:5">
      <c r="A112" s="2" t="str">
        <f>IF(B112="","",MAX($A$2:A111)+1)</f>
        <v/>
      </c>
      <c r="B112" s="8"/>
      <c r="C112" s="22" t="str">
        <f>IF(ISNUMBER(SEARCH($D$1,B112)),LOOKUP(9.99999999999999E+307,C$1:C111)+1,"")</f>
        <v/>
      </c>
      <c r="E112" t="str">
        <f>IF(ROWS(E$2:E112)&gt;$E$1,"",LOOKUP(ROWS(E$2:E112),C:C,B:B))</f>
        <v/>
      </c>
    </row>
    <row r="113" spans="1:5">
      <c r="A113" s="2" t="str">
        <f>IF(B113="","",MAX($A$2:A112)+1)</f>
        <v/>
      </c>
      <c r="B113" s="8"/>
      <c r="C113" s="22" t="str">
        <f>IF(ISNUMBER(SEARCH($D$1,B113)),LOOKUP(9.99999999999999E+307,C$1:C112)+1,"")</f>
        <v/>
      </c>
      <c r="E113" t="str">
        <f>IF(ROWS(E$2:E113)&gt;$E$1,"",LOOKUP(ROWS(E$2:E113),C:C,B:B))</f>
        <v/>
      </c>
    </row>
    <row r="114" spans="1:5">
      <c r="A114" s="2" t="str">
        <f>IF(B114="","",MAX($A$2:A113)+1)</f>
        <v/>
      </c>
      <c r="B114" s="8"/>
      <c r="C114" s="22" t="str">
        <f>IF(ISNUMBER(SEARCH($D$1,B114)),LOOKUP(9.99999999999999E+307,C$1:C113)+1,"")</f>
        <v/>
      </c>
      <c r="E114" t="str">
        <f>IF(ROWS(E$2:E114)&gt;$E$1,"",LOOKUP(ROWS(E$2:E114),C:C,B:B))</f>
        <v/>
      </c>
    </row>
    <row r="115" spans="1:5">
      <c r="A115" s="2" t="str">
        <f>IF(B115="","",MAX($A$2:A114)+1)</f>
        <v/>
      </c>
      <c r="B115" s="8"/>
      <c r="C115" s="22" t="str">
        <f>IF(ISNUMBER(SEARCH($D$1,B115)),LOOKUP(9.99999999999999E+307,C$1:C114)+1,"")</f>
        <v/>
      </c>
      <c r="E115" t="str">
        <f>IF(ROWS(E$2:E115)&gt;$E$1,"",LOOKUP(ROWS(E$2:E115),C:C,B:B))</f>
        <v/>
      </c>
    </row>
    <row r="116" spans="1:5">
      <c r="A116" s="2" t="str">
        <f>IF(B116="","",MAX($A$2:A115)+1)</f>
        <v/>
      </c>
      <c r="B116" s="8"/>
      <c r="C116" s="22" t="str">
        <f>IF(ISNUMBER(SEARCH($D$1,B116)),LOOKUP(9.99999999999999E+307,C$1:C115)+1,"")</f>
        <v/>
      </c>
      <c r="E116" t="str">
        <f>IF(ROWS(E$2:E116)&gt;$E$1,"",LOOKUP(ROWS(E$2:E116),C:C,B:B))</f>
        <v/>
      </c>
    </row>
    <row r="117" spans="1:5">
      <c r="A117" s="2" t="str">
        <f>IF(B117="","",MAX($A$2:A116)+1)</f>
        <v/>
      </c>
      <c r="B117" s="8"/>
      <c r="C117" s="22" t="str">
        <f>IF(ISNUMBER(SEARCH($D$1,B117)),LOOKUP(9.99999999999999E+307,C$1:C116)+1,"")</f>
        <v/>
      </c>
      <c r="E117" t="str">
        <f>IF(ROWS(E$2:E117)&gt;$E$1,"",LOOKUP(ROWS(E$2:E117),C:C,B:B))</f>
        <v/>
      </c>
    </row>
    <row r="118" spans="1:5">
      <c r="A118" s="2" t="str">
        <f>IF(B118="","",MAX($A$2:A117)+1)</f>
        <v/>
      </c>
      <c r="B118" s="8"/>
      <c r="C118" s="22" t="str">
        <f>IF(ISNUMBER(SEARCH($D$1,B118)),LOOKUP(9.99999999999999E+307,C$1:C117)+1,"")</f>
        <v/>
      </c>
      <c r="E118" t="str">
        <f>IF(ROWS(E$2:E118)&gt;$E$1,"",LOOKUP(ROWS(E$2:E118),C:C,B:B))</f>
        <v/>
      </c>
    </row>
    <row r="119" spans="1:5">
      <c r="A119" s="2" t="str">
        <f>IF(B119="","",MAX($A$2:A118)+1)</f>
        <v/>
      </c>
      <c r="B119" s="8"/>
      <c r="C119" s="22" t="str">
        <f>IF(ISNUMBER(SEARCH($D$1,B119)),LOOKUP(9.99999999999999E+307,C$1:C118)+1,"")</f>
        <v/>
      </c>
      <c r="E119" t="str">
        <f>IF(ROWS(E$2:E119)&gt;$E$1,"",LOOKUP(ROWS(E$2:E119),C:C,B:B))</f>
        <v/>
      </c>
    </row>
    <row r="120" spans="1:5">
      <c r="A120" s="2" t="str">
        <f>IF(B120="","",MAX($A$2:A119)+1)</f>
        <v/>
      </c>
      <c r="B120" s="8"/>
      <c r="C120" s="22" t="str">
        <f>IF(ISNUMBER(SEARCH($D$1,B120)),LOOKUP(9.99999999999999E+307,C$1:C119)+1,"")</f>
        <v/>
      </c>
      <c r="E120" t="str">
        <f>IF(ROWS(E$2:E120)&gt;$E$1,"",LOOKUP(ROWS(E$2:E120),C:C,B:B))</f>
        <v/>
      </c>
    </row>
    <row r="121" spans="1:5">
      <c r="A121" s="2" t="str">
        <f>IF(B121="","",MAX($A$2:A120)+1)</f>
        <v/>
      </c>
      <c r="B121" s="8"/>
      <c r="C121" s="22" t="str">
        <f>IF(ISNUMBER(SEARCH($D$1,B121)),LOOKUP(9.99999999999999E+307,C$1:C120)+1,"")</f>
        <v/>
      </c>
      <c r="E121" t="str">
        <f>IF(ROWS(E$2:E121)&gt;$E$1,"",LOOKUP(ROWS(E$2:E121),C:C,B:B))</f>
        <v/>
      </c>
    </row>
    <row r="122" spans="1:5">
      <c r="A122" s="2" t="str">
        <f>IF(B122="","",MAX($A$2:A121)+1)</f>
        <v/>
      </c>
      <c r="B122" s="8"/>
      <c r="C122" s="22" t="str">
        <f>IF(ISNUMBER(SEARCH($D$1,B122)),LOOKUP(9.99999999999999E+307,C$1:C121)+1,"")</f>
        <v/>
      </c>
      <c r="E122" t="str">
        <f>IF(ROWS(E$2:E122)&gt;$E$1,"",LOOKUP(ROWS(E$2:E122),C:C,B:B))</f>
        <v/>
      </c>
    </row>
    <row r="123" spans="1:5">
      <c r="A123" s="2" t="str">
        <f>IF(B123="","",MAX($A$2:A122)+1)</f>
        <v/>
      </c>
      <c r="B123" s="8"/>
      <c r="C123" s="22" t="str">
        <f>IF(ISNUMBER(SEARCH($D$1,B123)),LOOKUP(9.99999999999999E+307,C$1:C122)+1,"")</f>
        <v/>
      </c>
      <c r="E123" t="str">
        <f>IF(ROWS(E$2:E123)&gt;$E$1,"",LOOKUP(ROWS(E$2:E123),C:C,B:B))</f>
        <v/>
      </c>
    </row>
    <row r="124" spans="1:5">
      <c r="A124" s="2" t="str">
        <f>IF(B124="","",MAX($A$2:A123)+1)</f>
        <v/>
      </c>
      <c r="B124" s="8"/>
      <c r="C124" s="22" t="str">
        <f>IF(ISNUMBER(SEARCH($D$1,B124)),LOOKUP(9.99999999999999E+307,C$1:C123)+1,"")</f>
        <v/>
      </c>
      <c r="E124" t="str">
        <f>IF(ROWS(E$2:E124)&gt;$E$1,"",LOOKUP(ROWS(E$2:E124),C:C,B:B))</f>
        <v/>
      </c>
    </row>
    <row r="125" spans="1:5">
      <c r="A125" s="2" t="str">
        <f>IF(B125="","",MAX($A$2:A124)+1)</f>
        <v/>
      </c>
      <c r="B125" s="8"/>
      <c r="C125" s="22" t="str">
        <f>IF(ISNUMBER(SEARCH($D$1,B125)),LOOKUP(9.99999999999999E+307,C$1:C124)+1,"")</f>
        <v/>
      </c>
      <c r="E125" t="str">
        <f>IF(ROWS(E$2:E125)&gt;$E$1,"",LOOKUP(ROWS(E$2:E125),C:C,B:B))</f>
        <v/>
      </c>
    </row>
    <row r="126" spans="1:5">
      <c r="A126" s="2" t="str">
        <f>IF(B126="","",MAX($A$2:A125)+1)</f>
        <v/>
      </c>
      <c r="B126" s="8"/>
      <c r="C126" s="22" t="str">
        <f>IF(ISNUMBER(SEARCH($D$1,B126)),LOOKUP(9.99999999999999E+307,C$1:C125)+1,"")</f>
        <v/>
      </c>
      <c r="E126" t="str">
        <f>IF(ROWS(E$2:E126)&gt;$E$1,"",LOOKUP(ROWS(E$2:E126),C:C,B:B))</f>
        <v/>
      </c>
    </row>
    <row r="127" spans="1:5">
      <c r="A127" s="2" t="str">
        <f>IF(B127="","",MAX($A$2:A126)+1)</f>
        <v/>
      </c>
      <c r="B127" s="8"/>
      <c r="C127" s="22" t="str">
        <f>IF(ISNUMBER(SEARCH($D$1,B127)),LOOKUP(9.99999999999999E+307,C$1:C126)+1,"")</f>
        <v/>
      </c>
      <c r="E127" t="str">
        <f>IF(ROWS(E$2:E127)&gt;$E$1,"",LOOKUP(ROWS(E$2:E127),C:C,B:B))</f>
        <v/>
      </c>
    </row>
    <row r="128" spans="1:5">
      <c r="A128" s="2" t="str">
        <f>IF(B128="","",MAX($A$2:A127)+1)</f>
        <v/>
      </c>
      <c r="B128" s="8"/>
      <c r="C128" s="22" t="str">
        <f>IF(ISNUMBER(SEARCH($D$1,B128)),LOOKUP(9.99999999999999E+307,C$1:C127)+1,"")</f>
        <v/>
      </c>
      <c r="E128" t="str">
        <f>IF(ROWS(E$2:E128)&gt;$E$1,"",LOOKUP(ROWS(E$2:E128),C:C,B:B))</f>
        <v/>
      </c>
    </row>
    <row r="129" spans="1:5">
      <c r="A129" s="2" t="str">
        <f>IF(B129="","",MAX($A$2:A128)+1)</f>
        <v/>
      </c>
      <c r="B129" s="8"/>
      <c r="C129" s="22" t="str">
        <f>IF(ISNUMBER(SEARCH($D$1,B129)),LOOKUP(9.99999999999999E+307,C$1:C128)+1,"")</f>
        <v/>
      </c>
      <c r="E129" t="str">
        <f>IF(ROWS(E$2:E129)&gt;$E$1,"",LOOKUP(ROWS(E$2:E129),C:C,B:B))</f>
        <v/>
      </c>
    </row>
    <row r="130" spans="1:5">
      <c r="A130" s="2" t="str">
        <f>IF(B130="","",MAX($A$2:A129)+1)</f>
        <v/>
      </c>
      <c r="B130" s="8"/>
      <c r="C130" s="22" t="str">
        <f>IF(ISNUMBER(SEARCH($D$1,B130)),LOOKUP(9.99999999999999E+307,C$1:C129)+1,"")</f>
        <v/>
      </c>
      <c r="E130" t="str">
        <f>IF(ROWS(E$2:E130)&gt;$E$1,"",LOOKUP(ROWS(E$2:E130),C:C,B:B))</f>
        <v/>
      </c>
    </row>
    <row r="131" spans="1:5">
      <c r="A131" s="2" t="str">
        <f>IF(B131="","",MAX($A$2:A130)+1)</f>
        <v/>
      </c>
      <c r="B131" s="8"/>
      <c r="C131" s="22" t="str">
        <f>IF(ISNUMBER(SEARCH($D$1,B131)),LOOKUP(9.99999999999999E+307,C$1:C130)+1,"")</f>
        <v/>
      </c>
      <c r="E131" t="str">
        <f>IF(ROWS(E$2:E131)&gt;$E$1,"",LOOKUP(ROWS(E$2:E131),C:C,B:B))</f>
        <v/>
      </c>
    </row>
    <row r="132" spans="1:5">
      <c r="A132" s="2" t="str">
        <f>IF(B132="","",MAX($A$2:A131)+1)</f>
        <v/>
      </c>
      <c r="B132" s="8"/>
      <c r="C132" s="22" t="str">
        <f>IF(ISNUMBER(SEARCH($D$1,B132)),LOOKUP(9.99999999999999E+307,C$1:C131)+1,"")</f>
        <v/>
      </c>
      <c r="E132" t="str">
        <f>IF(ROWS(E$2:E132)&gt;$E$1,"",LOOKUP(ROWS(E$2:E132),C:C,B:B))</f>
        <v/>
      </c>
    </row>
    <row r="133" spans="1:5">
      <c r="A133" s="2" t="str">
        <f>IF(B133="","",MAX($A$2:A132)+1)</f>
        <v/>
      </c>
      <c r="B133" s="8"/>
      <c r="C133" s="22" t="str">
        <f>IF(ISNUMBER(SEARCH($D$1,B133)),LOOKUP(9.99999999999999E+307,C$1:C132)+1,"")</f>
        <v/>
      </c>
      <c r="E133" t="str">
        <f>IF(ROWS(E$2:E133)&gt;$E$1,"",LOOKUP(ROWS(E$2:E133),C:C,B:B))</f>
        <v/>
      </c>
    </row>
    <row r="134" spans="1:5">
      <c r="A134" s="2" t="str">
        <f>IF(B134="","",MAX($A$2:A133)+1)</f>
        <v/>
      </c>
      <c r="B134" s="8"/>
      <c r="C134" s="22" t="str">
        <f>IF(ISNUMBER(SEARCH($D$1,B134)),LOOKUP(9.99999999999999E+307,C$1:C133)+1,"")</f>
        <v/>
      </c>
      <c r="E134" t="str">
        <f>IF(ROWS(E$2:E134)&gt;$E$1,"",LOOKUP(ROWS(E$2:E134),C:C,B:B))</f>
        <v/>
      </c>
    </row>
    <row r="135" spans="1:5">
      <c r="A135" s="2" t="str">
        <f>IF(B135="","",MAX($A$2:A134)+1)</f>
        <v/>
      </c>
      <c r="B135" s="8"/>
      <c r="C135" s="22" t="str">
        <f>IF(ISNUMBER(SEARCH($D$1,B135)),LOOKUP(9.99999999999999E+307,C$1:C134)+1,"")</f>
        <v/>
      </c>
      <c r="E135" t="str">
        <f>IF(ROWS(E$2:E135)&gt;$E$1,"",LOOKUP(ROWS(E$2:E135),C:C,B:B))</f>
        <v/>
      </c>
    </row>
    <row r="136" spans="1:5">
      <c r="A136" s="2" t="str">
        <f>IF(B136="","",MAX($A$2:A135)+1)</f>
        <v/>
      </c>
      <c r="B136" s="8"/>
      <c r="C136" s="22" t="str">
        <f>IF(ISNUMBER(SEARCH($D$1,B136)),LOOKUP(9.99999999999999E+307,C$1:C135)+1,"")</f>
        <v/>
      </c>
      <c r="E136" t="str">
        <f>IF(ROWS(E$2:E136)&gt;$E$1,"",LOOKUP(ROWS(E$2:E136),C:C,B:B))</f>
        <v/>
      </c>
    </row>
    <row r="137" spans="1:5">
      <c r="A137" s="2" t="str">
        <f>IF(B137="","",MAX($A$2:A136)+1)</f>
        <v/>
      </c>
      <c r="B137" s="8"/>
      <c r="C137" s="22" t="str">
        <f>IF(ISNUMBER(SEARCH($D$1,B137)),LOOKUP(9.99999999999999E+307,C$1:C136)+1,"")</f>
        <v/>
      </c>
      <c r="E137" t="str">
        <f>IF(ROWS(E$2:E137)&gt;$E$1,"",LOOKUP(ROWS(E$2:E137),C:C,B:B))</f>
        <v/>
      </c>
    </row>
    <row r="138" spans="1:5">
      <c r="A138" s="2" t="str">
        <f>IF(B138="","",MAX($A$2:A137)+1)</f>
        <v/>
      </c>
      <c r="B138" s="8"/>
      <c r="C138" s="22" t="str">
        <f>IF(ISNUMBER(SEARCH($D$1,B138)),LOOKUP(9.99999999999999E+307,C$1:C137)+1,"")</f>
        <v/>
      </c>
      <c r="E138" t="str">
        <f>IF(ROWS(E$2:E138)&gt;$E$1,"",LOOKUP(ROWS(E$2:E138),C:C,B:B))</f>
        <v/>
      </c>
    </row>
    <row r="139" spans="1:5">
      <c r="A139" s="2" t="str">
        <f>IF(B139="","",MAX($A$2:A138)+1)</f>
        <v/>
      </c>
      <c r="B139" s="8"/>
      <c r="C139" s="22" t="str">
        <f>IF(ISNUMBER(SEARCH($D$1,B139)),LOOKUP(9.99999999999999E+307,C$1:C138)+1,"")</f>
        <v/>
      </c>
      <c r="E139" t="str">
        <f>IF(ROWS(E$2:E139)&gt;$E$1,"",LOOKUP(ROWS(E$2:E139),C:C,B:B))</f>
        <v/>
      </c>
    </row>
    <row r="140" spans="1:5">
      <c r="A140" s="2" t="str">
        <f>IF(B140="","",MAX($A$2:A139)+1)</f>
        <v/>
      </c>
      <c r="B140" s="8"/>
      <c r="C140" s="22" t="str">
        <f>IF(ISNUMBER(SEARCH($D$1,B140)),LOOKUP(9.99999999999999E+307,C$1:C139)+1,"")</f>
        <v/>
      </c>
      <c r="E140" t="str">
        <f>IF(ROWS(E$2:E140)&gt;$E$1,"",LOOKUP(ROWS(E$2:E140),C:C,B:B))</f>
        <v/>
      </c>
    </row>
    <row r="141" spans="1:5">
      <c r="A141" s="2" t="str">
        <f>IF(B141="","",MAX($A$2:A140)+1)</f>
        <v/>
      </c>
      <c r="B141" s="8"/>
      <c r="C141" s="22" t="str">
        <f>IF(ISNUMBER(SEARCH($D$1,B141)),LOOKUP(9.99999999999999E+307,C$1:C140)+1,"")</f>
        <v/>
      </c>
      <c r="E141" t="str">
        <f>IF(ROWS(E$2:E141)&gt;$E$1,"",LOOKUP(ROWS(E$2:E141),C:C,B:B))</f>
        <v/>
      </c>
    </row>
    <row r="142" spans="1:5">
      <c r="A142" s="2" t="str">
        <f>IF(B142="","",MAX($A$2:A141)+1)</f>
        <v/>
      </c>
      <c r="B142" s="8"/>
      <c r="C142" s="22" t="str">
        <f>IF(ISNUMBER(SEARCH($D$1,B142)),LOOKUP(9.99999999999999E+307,C$1:C141)+1,"")</f>
        <v/>
      </c>
      <c r="E142" t="str">
        <f>IF(ROWS(E$2:E142)&gt;$E$1,"",LOOKUP(ROWS(E$2:E142),C:C,B:B))</f>
        <v/>
      </c>
    </row>
    <row r="143" spans="1:5">
      <c r="A143" s="2" t="str">
        <f>IF(B143="","",MAX($A$2:A142)+1)</f>
        <v/>
      </c>
      <c r="B143" s="8"/>
      <c r="C143" s="22" t="str">
        <f>IF(ISNUMBER(SEARCH($D$1,B143)),LOOKUP(9.99999999999999E+307,C$1:C142)+1,"")</f>
        <v/>
      </c>
      <c r="E143" t="str">
        <f>IF(ROWS(E$2:E143)&gt;$E$1,"",LOOKUP(ROWS(E$2:E143),C:C,B:B))</f>
        <v/>
      </c>
    </row>
    <row r="144" spans="1:5">
      <c r="A144" s="2" t="str">
        <f>IF(B144="","",MAX($A$2:A143)+1)</f>
        <v/>
      </c>
      <c r="B144" s="8"/>
      <c r="C144" s="22" t="str">
        <f>IF(ISNUMBER(SEARCH($D$1,B144)),LOOKUP(9.99999999999999E+307,C$1:C143)+1,"")</f>
        <v/>
      </c>
      <c r="E144" t="str">
        <f>IF(ROWS(E$2:E144)&gt;$E$1,"",LOOKUP(ROWS(E$2:E144),C:C,B:B))</f>
        <v/>
      </c>
    </row>
    <row r="145" spans="1:5">
      <c r="A145" s="2" t="str">
        <f>IF(B145="","",MAX($A$2:A144)+1)</f>
        <v/>
      </c>
      <c r="B145" s="8"/>
      <c r="C145" s="22" t="str">
        <f>IF(ISNUMBER(SEARCH($D$1,B145)),LOOKUP(9.99999999999999E+307,C$1:C144)+1,"")</f>
        <v/>
      </c>
      <c r="E145" t="str">
        <f>IF(ROWS(E$2:E145)&gt;$E$1,"",LOOKUP(ROWS(E$2:E145),C:C,B:B))</f>
        <v/>
      </c>
    </row>
    <row r="146" spans="1:5">
      <c r="A146" s="2" t="str">
        <f>IF(B146="","",MAX($A$2:A145)+1)</f>
        <v/>
      </c>
      <c r="B146" s="8"/>
      <c r="C146" s="22" t="str">
        <f>IF(ISNUMBER(SEARCH($D$1,B146)),LOOKUP(9.99999999999999E+307,C$1:C145)+1,"")</f>
        <v/>
      </c>
      <c r="E146" t="str">
        <f>IF(ROWS(E$2:E146)&gt;$E$1,"",LOOKUP(ROWS(E$2:E146),C:C,B:B))</f>
        <v/>
      </c>
    </row>
    <row r="147" spans="1:5">
      <c r="A147" s="2" t="str">
        <f>IF(B147="","",MAX($A$2:A146)+1)</f>
        <v/>
      </c>
      <c r="B147" s="8"/>
      <c r="C147" s="22" t="str">
        <f>IF(ISNUMBER(SEARCH($D$1,B147)),LOOKUP(9.99999999999999E+307,C$1:C146)+1,"")</f>
        <v/>
      </c>
      <c r="E147" t="str">
        <f>IF(ROWS(E$2:E147)&gt;$E$1,"",LOOKUP(ROWS(E$2:E147),C:C,B:B))</f>
        <v/>
      </c>
    </row>
    <row r="148" spans="1:5">
      <c r="A148" s="2" t="str">
        <f>IF(B148="","",MAX($A$2:A147)+1)</f>
        <v/>
      </c>
      <c r="B148" s="8"/>
      <c r="C148" s="22" t="str">
        <f>IF(ISNUMBER(SEARCH($D$1,B148)),LOOKUP(9.99999999999999E+307,C$1:C147)+1,"")</f>
        <v/>
      </c>
      <c r="E148" t="str">
        <f>IF(ROWS(E$2:E148)&gt;$E$1,"",LOOKUP(ROWS(E$2:E148),C:C,B:B))</f>
        <v/>
      </c>
    </row>
    <row r="149" spans="1:5">
      <c r="A149" s="2" t="str">
        <f>IF(B149="","",MAX($A$2:A148)+1)</f>
        <v/>
      </c>
      <c r="B149" s="8"/>
      <c r="C149" s="22" t="str">
        <f>IF(ISNUMBER(SEARCH($D$1,B149)),LOOKUP(9.99999999999999E+307,C$1:C148)+1,"")</f>
        <v/>
      </c>
      <c r="E149" t="str">
        <f>IF(ROWS(E$2:E149)&gt;$E$1,"",LOOKUP(ROWS(E$2:E149),C:C,B:B))</f>
        <v/>
      </c>
    </row>
    <row r="150" spans="1:5">
      <c r="A150" s="2" t="str">
        <f>IF(B150="","",MAX($A$2:A149)+1)</f>
        <v/>
      </c>
      <c r="B150" s="8"/>
      <c r="C150" s="22" t="str">
        <f>IF(ISNUMBER(SEARCH($D$1,B150)),LOOKUP(9.99999999999999E+307,C$1:C149)+1,"")</f>
        <v/>
      </c>
      <c r="E150" t="str">
        <f>IF(ROWS(E$2:E150)&gt;$E$1,"",LOOKUP(ROWS(E$2:E150),C:C,B:B))</f>
        <v/>
      </c>
    </row>
    <row r="151" spans="1:5">
      <c r="A151" s="2" t="str">
        <f>IF(B151="","",MAX($A$2:A150)+1)</f>
        <v/>
      </c>
      <c r="B151" s="8"/>
      <c r="C151" s="22" t="str">
        <f>IF(ISNUMBER(SEARCH($D$1,B151)),LOOKUP(9.99999999999999E+307,C$1:C150)+1,"")</f>
        <v/>
      </c>
      <c r="E151" t="str">
        <f>IF(ROWS(E$2:E151)&gt;$E$1,"",LOOKUP(ROWS(E$2:E151),C:C,B:B))</f>
        <v/>
      </c>
    </row>
    <row r="152" spans="1:5">
      <c r="A152" s="2" t="str">
        <f>IF(B152="","",MAX($A$2:A151)+1)</f>
        <v/>
      </c>
      <c r="B152" s="8"/>
      <c r="C152" s="22" t="str">
        <f>IF(ISNUMBER(SEARCH($D$1,B152)),LOOKUP(9.99999999999999E+307,C$1:C151)+1,"")</f>
        <v/>
      </c>
      <c r="E152" t="str">
        <f>IF(ROWS(E$2:E152)&gt;$E$1,"",LOOKUP(ROWS(E$2:E152),C:C,B:B))</f>
        <v/>
      </c>
    </row>
    <row r="153" spans="1:5">
      <c r="A153" s="2" t="str">
        <f>IF(B153="","",MAX($A$2:A152)+1)</f>
        <v/>
      </c>
      <c r="B153" s="8"/>
      <c r="C153" s="22" t="str">
        <f>IF(ISNUMBER(SEARCH($D$1,B153)),LOOKUP(9.99999999999999E+307,C$1:C152)+1,"")</f>
        <v/>
      </c>
      <c r="E153" t="str">
        <f>IF(ROWS(E$2:E153)&gt;$E$1,"",LOOKUP(ROWS(E$2:E153),C:C,B:B))</f>
        <v/>
      </c>
    </row>
    <row r="154" spans="1:5">
      <c r="A154" s="2" t="str">
        <f>IF(B154="","",MAX($A$2:A153)+1)</f>
        <v/>
      </c>
      <c r="B154" s="8"/>
      <c r="C154" s="22" t="str">
        <f>IF(ISNUMBER(SEARCH($D$1,B154)),LOOKUP(9.99999999999999E+307,C$1:C153)+1,"")</f>
        <v/>
      </c>
      <c r="E154" t="str">
        <f>IF(ROWS(E$2:E154)&gt;$E$1,"",LOOKUP(ROWS(E$2:E154),C:C,B:B))</f>
        <v/>
      </c>
    </row>
    <row r="155" spans="1:5">
      <c r="A155" s="2" t="str">
        <f>IF(B155="","",MAX($A$2:A154)+1)</f>
        <v/>
      </c>
      <c r="B155" s="8"/>
      <c r="C155" s="22" t="str">
        <f>IF(ISNUMBER(SEARCH($D$1,B155)),LOOKUP(9.99999999999999E+307,C$1:C154)+1,"")</f>
        <v/>
      </c>
      <c r="E155" t="str">
        <f>IF(ROWS(E$2:E155)&gt;$E$1,"",LOOKUP(ROWS(E$2:E155),C:C,B:B))</f>
        <v/>
      </c>
    </row>
    <row r="156" spans="1:5">
      <c r="A156" s="2" t="str">
        <f>IF(B156="","",MAX($A$2:A155)+1)</f>
        <v/>
      </c>
      <c r="B156" s="8"/>
      <c r="C156" s="22" t="str">
        <f>IF(ISNUMBER(SEARCH($D$1,B156)),LOOKUP(9.99999999999999E+307,C$1:C155)+1,"")</f>
        <v/>
      </c>
      <c r="E156" t="str">
        <f>IF(ROWS(E$2:E156)&gt;$E$1,"",LOOKUP(ROWS(E$2:E156),C:C,B:B))</f>
        <v/>
      </c>
    </row>
    <row r="157" spans="1:5">
      <c r="A157" s="2" t="str">
        <f>IF(B157="","",MAX($A$2:A156)+1)</f>
        <v/>
      </c>
      <c r="B157" s="8"/>
      <c r="C157" s="22" t="str">
        <f>IF(ISNUMBER(SEARCH($D$1,B157)),LOOKUP(9.99999999999999E+307,C$1:C156)+1,"")</f>
        <v/>
      </c>
      <c r="E157" t="str">
        <f>IF(ROWS(E$2:E157)&gt;$E$1,"",LOOKUP(ROWS(E$2:E157),C:C,B:B))</f>
        <v/>
      </c>
    </row>
    <row r="158" spans="1:5">
      <c r="A158" s="2" t="str">
        <f>IF(B158="","",MAX($A$2:A157)+1)</f>
        <v/>
      </c>
      <c r="B158" s="8"/>
      <c r="C158" s="22" t="str">
        <f>IF(ISNUMBER(SEARCH($D$1,B158)),LOOKUP(9.99999999999999E+307,C$1:C157)+1,"")</f>
        <v/>
      </c>
      <c r="E158" t="str">
        <f>IF(ROWS(E$2:E158)&gt;$E$1,"",LOOKUP(ROWS(E$2:E158),C:C,B:B))</f>
        <v/>
      </c>
    </row>
    <row r="159" spans="1:5">
      <c r="A159" s="2" t="str">
        <f>IF(B159="","",MAX($A$2:A158)+1)</f>
        <v/>
      </c>
      <c r="B159" s="8"/>
      <c r="C159" s="22" t="str">
        <f>IF(ISNUMBER(SEARCH($D$1,B159)),LOOKUP(9.99999999999999E+307,C$1:C158)+1,"")</f>
        <v/>
      </c>
      <c r="E159" t="str">
        <f>IF(ROWS(E$2:E159)&gt;$E$1,"",LOOKUP(ROWS(E$2:E159),C:C,B:B))</f>
        <v/>
      </c>
    </row>
    <row r="160" spans="1:5">
      <c r="A160" s="2" t="str">
        <f>IF(B160="","",MAX($A$2:A159)+1)</f>
        <v/>
      </c>
      <c r="B160" s="8"/>
      <c r="C160" s="22" t="str">
        <f>IF(ISNUMBER(SEARCH($D$1,B160)),LOOKUP(9.99999999999999E+307,C$1:C159)+1,"")</f>
        <v/>
      </c>
      <c r="E160" t="str">
        <f>IF(ROWS(E$2:E160)&gt;$E$1,"",LOOKUP(ROWS(E$2:E160),C:C,B:B))</f>
        <v/>
      </c>
    </row>
    <row r="161" spans="1:5">
      <c r="A161" s="2" t="str">
        <f>IF(B161="","",MAX($A$2:A160)+1)</f>
        <v/>
      </c>
      <c r="B161" s="8"/>
      <c r="C161" s="22" t="str">
        <f>IF(ISNUMBER(SEARCH($D$1,B161)),LOOKUP(9.99999999999999E+307,C$1:C160)+1,"")</f>
        <v/>
      </c>
      <c r="E161" t="str">
        <f>IF(ROWS(E$2:E161)&gt;$E$1,"",LOOKUP(ROWS(E$2:E161),C:C,B:B))</f>
        <v/>
      </c>
    </row>
    <row r="162" spans="1:5">
      <c r="A162" s="2" t="str">
        <f>IF(B162="","",MAX($A$2:A161)+1)</f>
        <v/>
      </c>
      <c r="B162" s="8"/>
      <c r="C162" s="22" t="str">
        <f>IF(ISNUMBER(SEARCH($D$1,B162)),LOOKUP(9.99999999999999E+307,C$1:C161)+1,"")</f>
        <v/>
      </c>
      <c r="E162" t="str">
        <f>IF(ROWS(E$2:E162)&gt;$E$1,"",LOOKUP(ROWS(E$2:E162),C:C,B:B))</f>
        <v/>
      </c>
    </row>
    <row r="163" spans="1:5">
      <c r="A163" s="2" t="str">
        <f>IF(B163="","",MAX($A$2:A162)+1)</f>
        <v/>
      </c>
      <c r="B163" s="8"/>
      <c r="C163" s="22" t="str">
        <f>IF(ISNUMBER(SEARCH($D$1,B163)),LOOKUP(9.99999999999999E+307,C$1:C162)+1,"")</f>
        <v/>
      </c>
      <c r="E163" t="str">
        <f>IF(ROWS(E$2:E163)&gt;$E$1,"",LOOKUP(ROWS(E$2:E163),C:C,B:B))</f>
        <v/>
      </c>
    </row>
    <row r="164" spans="1:5">
      <c r="A164" s="2" t="str">
        <f>IF(B164="","",MAX($A$2:A163)+1)</f>
        <v/>
      </c>
      <c r="B164" s="8"/>
      <c r="C164" s="22" t="str">
        <f>IF(ISNUMBER(SEARCH($D$1,B164)),LOOKUP(9.99999999999999E+307,C$1:C163)+1,"")</f>
        <v/>
      </c>
      <c r="E164" t="str">
        <f>IF(ROWS(E$2:E164)&gt;$E$1,"",LOOKUP(ROWS(E$2:E164),C:C,B:B))</f>
        <v/>
      </c>
    </row>
    <row r="165" spans="1:5">
      <c r="A165" s="2" t="str">
        <f>IF(B165="","",MAX($A$2:A164)+1)</f>
        <v/>
      </c>
      <c r="B165" s="8"/>
      <c r="C165" s="22" t="str">
        <f>IF(ISNUMBER(SEARCH($D$1,B165)),LOOKUP(9.99999999999999E+307,C$1:C164)+1,"")</f>
        <v/>
      </c>
      <c r="E165" t="str">
        <f>IF(ROWS(E$2:E165)&gt;$E$1,"",LOOKUP(ROWS(E$2:E165),C:C,B:B))</f>
        <v/>
      </c>
    </row>
    <row r="166" spans="1:5">
      <c r="A166" s="2" t="str">
        <f>IF(B166="","",MAX($A$2:A165)+1)</f>
        <v/>
      </c>
      <c r="B166" s="8"/>
      <c r="C166" s="22" t="str">
        <f>IF(ISNUMBER(SEARCH($D$1,B166)),LOOKUP(9.99999999999999E+307,C$1:C165)+1,"")</f>
        <v/>
      </c>
      <c r="E166" t="str">
        <f>IF(ROWS(E$2:E166)&gt;$E$1,"",LOOKUP(ROWS(E$2:E166),C:C,B:B))</f>
        <v/>
      </c>
    </row>
    <row r="167" spans="1:5">
      <c r="A167" s="2" t="str">
        <f>IF(B167="","",MAX($A$2:A166)+1)</f>
        <v/>
      </c>
      <c r="B167" s="8"/>
      <c r="C167" s="22" t="str">
        <f>IF(ISNUMBER(SEARCH($D$1,B167)),LOOKUP(9.99999999999999E+307,C$1:C166)+1,"")</f>
        <v/>
      </c>
      <c r="E167" t="str">
        <f>IF(ROWS(E$2:E167)&gt;$E$1,"",LOOKUP(ROWS(E$2:E167),C:C,B:B))</f>
        <v/>
      </c>
    </row>
    <row r="168" spans="1:5">
      <c r="A168" s="2" t="str">
        <f>IF(B168="","",MAX($A$2:A167)+1)</f>
        <v/>
      </c>
      <c r="B168" s="8"/>
      <c r="C168" s="22" t="str">
        <f>IF(ISNUMBER(SEARCH($D$1,B168)),LOOKUP(9.99999999999999E+307,C$1:C167)+1,"")</f>
        <v/>
      </c>
      <c r="E168" t="str">
        <f>IF(ROWS(E$2:E168)&gt;$E$1,"",LOOKUP(ROWS(E$2:E168),C:C,B:B))</f>
        <v/>
      </c>
    </row>
    <row r="169" spans="1:5">
      <c r="A169" s="2" t="str">
        <f>IF(B169="","",MAX($A$2:A168)+1)</f>
        <v/>
      </c>
      <c r="B169" s="8"/>
      <c r="C169" s="22" t="str">
        <f>IF(ISNUMBER(SEARCH($D$1,B169)),LOOKUP(9.99999999999999E+307,C$1:C168)+1,"")</f>
        <v/>
      </c>
      <c r="E169" t="str">
        <f>IF(ROWS(E$2:E169)&gt;$E$1,"",LOOKUP(ROWS(E$2:E169),C:C,B:B))</f>
        <v/>
      </c>
    </row>
    <row r="170" spans="1:5">
      <c r="A170" s="2" t="str">
        <f>IF(B170="","",MAX($A$2:A169)+1)</f>
        <v/>
      </c>
      <c r="B170" s="8"/>
      <c r="C170" s="22" t="str">
        <f>IF(ISNUMBER(SEARCH($D$1,B170)),LOOKUP(9.99999999999999E+307,C$1:C169)+1,"")</f>
        <v/>
      </c>
      <c r="E170" t="str">
        <f>IF(ROWS(E$2:E170)&gt;$E$1,"",LOOKUP(ROWS(E$2:E170),C:C,B:B))</f>
        <v/>
      </c>
    </row>
    <row r="171" spans="1:5">
      <c r="A171" s="2" t="str">
        <f>IF(B171="","",MAX($A$2:A170)+1)</f>
        <v/>
      </c>
      <c r="B171" s="8"/>
      <c r="C171" s="22" t="str">
        <f>IF(ISNUMBER(SEARCH($D$1,B171)),LOOKUP(9.99999999999999E+307,C$1:C170)+1,"")</f>
        <v/>
      </c>
      <c r="E171" t="str">
        <f>IF(ROWS(E$2:E171)&gt;$E$1,"",LOOKUP(ROWS(E$2:E171),C:C,B:B))</f>
        <v/>
      </c>
    </row>
    <row r="172" spans="1:5">
      <c r="A172" s="2" t="str">
        <f>IF(B172="","",MAX($A$2:A171)+1)</f>
        <v/>
      </c>
      <c r="B172" s="8"/>
      <c r="C172" s="22" t="str">
        <f>IF(ISNUMBER(SEARCH($D$1,B172)),LOOKUP(9.99999999999999E+307,C$1:C171)+1,"")</f>
        <v/>
      </c>
      <c r="E172" t="str">
        <f>IF(ROWS(E$2:E172)&gt;$E$1,"",LOOKUP(ROWS(E$2:E172),C:C,B:B))</f>
        <v/>
      </c>
    </row>
    <row r="173" spans="1:5">
      <c r="A173" s="2" t="str">
        <f>IF(B173="","",MAX($A$2:A172)+1)</f>
        <v/>
      </c>
      <c r="B173" s="8"/>
      <c r="C173" s="22" t="str">
        <f>IF(ISNUMBER(SEARCH($D$1,B173)),LOOKUP(9.99999999999999E+307,C$1:C172)+1,"")</f>
        <v/>
      </c>
      <c r="E173" t="str">
        <f>IF(ROWS(E$2:E173)&gt;$E$1,"",LOOKUP(ROWS(E$2:E173),C:C,B:B))</f>
        <v/>
      </c>
    </row>
    <row r="174" spans="1:5">
      <c r="A174" s="2" t="str">
        <f>IF(B174="","",MAX($A$2:A173)+1)</f>
        <v/>
      </c>
      <c r="B174" s="8"/>
      <c r="C174" s="22" t="str">
        <f>IF(ISNUMBER(SEARCH($D$1,B174)),LOOKUP(9.99999999999999E+307,C$1:C173)+1,"")</f>
        <v/>
      </c>
      <c r="E174" t="str">
        <f>IF(ROWS(E$2:E174)&gt;$E$1,"",LOOKUP(ROWS(E$2:E174),C:C,B:B))</f>
        <v/>
      </c>
    </row>
    <row r="175" spans="1:5">
      <c r="A175" s="2" t="str">
        <f>IF(B175="","",MAX($A$2:A174)+1)</f>
        <v/>
      </c>
      <c r="B175" s="8"/>
      <c r="C175" s="22" t="str">
        <f>IF(ISNUMBER(SEARCH($D$1,B175)),LOOKUP(9.99999999999999E+307,C$1:C174)+1,"")</f>
        <v/>
      </c>
      <c r="E175" t="str">
        <f>IF(ROWS(E$2:E175)&gt;$E$1,"",LOOKUP(ROWS(E$2:E175),C:C,B:B))</f>
        <v/>
      </c>
    </row>
    <row r="176" spans="1:5">
      <c r="A176" s="2" t="str">
        <f>IF(B176="","",MAX($A$2:A175)+1)</f>
        <v/>
      </c>
      <c r="B176" s="8"/>
      <c r="C176" s="22" t="str">
        <f>IF(ISNUMBER(SEARCH($D$1,B176)),LOOKUP(9.99999999999999E+307,C$1:C175)+1,"")</f>
        <v/>
      </c>
      <c r="E176" t="str">
        <f>IF(ROWS(E$2:E176)&gt;$E$1,"",LOOKUP(ROWS(E$2:E176),C:C,B:B))</f>
        <v/>
      </c>
    </row>
    <row r="177" spans="1:5">
      <c r="A177" s="2" t="str">
        <f>IF(B177="","",MAX($A$2:A176)+1)</f>
        <v/>
      </c>
      <c r="B177" s="8"/>
      <c r="C177" s="22" t="str">
        <f>IF(ISNUMBER(SEARCH($D$1,B177)),LOOKUP(9.99999999999999E+307,C$1:C176)+1,"")</f>
        <v/>
      </c>
      <c r="E177" t="str">
        <f>IF(ROWS(E$2:E177)&gt;$E$1,"",LOOKUP(ROWS(E$2:E177),C:C,B:B))</f>
        <v/>
      </c>
    </row>
    <row r="178" spans="1:5">
      <c r="A178" s="2" t="str">
        <f>IF(B178="","",MAX($A$2:A177)+1)</f>
        <v/>
      </c>
      <c r="B178" s="8"/>
      <c r="C178" s="22" t="str">
        <f>IF(ISNUMBER(SEARCH($D$1,B178)),LOOKUP(9.99999999999999E+307,C$1:C177)+1,"")</f>
        <v/>
      </c>
      <c r="E178" t="str">
        <f>IF(ROWS(E$2:E178)&gt;$E$1,"",LOOKUP(ROWS(E$2:E178),C:C,B:B))</f>
        <v/>
      </c>
    </row>
    <row r="179" spans="1:5">
      <c r="A179" s="2" t="str">
        <f>IF(B179="","",MAX($A$2:A178)+1)</f>
        <v/>
      </c>
      <c r="B179" s="8"/>
      <c r="C179" s="22" t="str">
        <f>IF(ISNUMBER(SEARCH($D$1,B179)),LOOKUP(9.99999999999999E+307,C$1:C178)+1,"")</f>
        <v/>
      </c>
      <c r="E179" t="str">
        <f>IF(ROWS(E$2:E179)&gt;$E$1,"",LOOKUP(ROWS(E$2:E179),C:C,B:B))</f>
        <v/>
      </c>
    </row>
    <row r="180" spans="1:5">
      <c r="A180" s="2" t="str">
        <f>IF(B180="","",MAX($A$2:A179)+1)</f>
        <v/>
      </c>
      <c r="B180" s="8"/>
      <c r="C180" s="22" t="str">
        <f>IF(ISNUMBER(SEARCH($D$1,B180)),LOOKUP(9.99999999999999E+307,C$1:C179)+1,"")</f>
        <v/>
      </c>
      <c r="E180" t="str">
        <f>IF(ROWS(E$2:E180)&gt;$E$1,"",LOOKUP(ROWS(E$2:E180),C:C,B:B))</f>
        <v/>
      </c>
    </row>
    <row r="181" spans="1:5">
      <c r="A181" s="2" t="str">
        <f>IF(B181="","",MAX($A$2:A180)+1)</f>
        <v/>
      </c>
      <c r="B181" s="8"/>
      <c r="C181" s="22" t="str">
        <f>IF(ISNUMBER(SEARCH($D$1,B181)),LOOKUP(9.99999999999999E+307,C$1:C180)+1,"")</f>
        <v/>
      </c>
      <c r="E181" t="str">
        <f>IF(ROWS(E$2:E181)&gt;$E$1,"",LOOKUP(ROWS(E$2:E181),C:C,B:B))</f>
        <v/>
      </c>
    </row>
    <row r="182" spans="1:5">
      <c r="A182" s="2" t="str">
        <f>IF(B182="","",MAX($A$2:A181)+1)</f>
        <v/>
      </c>
      <c r="B182" s="8"/>
      <c r="C182" s="22" t="str">
        <f>IF(ISNUMBER(SEARCH($D$1,B182)),LOOKUP(9.99999999999999E+307,C$1:C181)+1,"")</f>
        <v/>
      </c>
      <c r="E182" t="str">
        <f>IF(ROWS(E$2:E182)&gt;$E$1,"",LOOKUP(ROWS(E$2:E182),C:C,B:B))</f>
        <v/>
      </c>
    </row>
    <row r="183" spans="1:5">
      <c r="A183" s="2" t="str">
        <f>IF(B183="","",MAX($A$2:A182)+1)</f>
        <v/>
      </c>
      <c r="B183" s="8"/>
      <c r="C183" s="22" t="str">
        <f>IF(ISNUMBER(SEARCH($D$1,B183)),LOOKUP(9.99999999999999E+307,C$1:C182)+1,"")</f>
        <v/>
      </c>
      <c r="E183" t="str">
        <f>IF(ROWS(E$2:E183)&gt;$E$1,"",LOOKUP(ROWS(E$2:E183),C:C,B:B))</f>
        <v/>
      </c>
    </row>
    <row r="184" spans="1:5">
      <c r="A184" s="2" t="str">
        <f>IF(B184="","",MAX($A$2:A183)+1)</f>
        <v/>
      </c>
      <c r="B184" s="8"/>
      <c r="C184" s="22" t="str">
        <f>IF(ISNUMBER(SEARCH($D$1,B184)),LOOKUP(9.99999999999999E+307,C$1:C183)+1,"")</f>
        <v/>
      </c>
      <c r="E184" t="str">
        <f>IF(ROWS(E$2:E184)&gt;$E$1,"",LOOKUP(ROWS(E$2:E184),C:C,B:B))</f>
        <v/>
      </c>
    </row>
    <row r="185" spans="1:5">
      <c r="A185" s="2" t="str">
        <f>IF(B185="","",MAX($A$2:A184)+1)</f>
        <v/>
      </c>
      <c r="B185" s="8"/>
      <c r="C185" s="22" t="str">
        <f>IF(ISNUMBER(SEARCH($D$1,B185)),LOOKUP(9.99999999999999E+307,C$1:C184)+1,"")</f>
        <v/>
      </c>
      <c r="E185" t="str">
        <f>IF(ROWS(E$2:E185)&gt;$E$1,"",LOOKUP(ROWS(E$2:E185),C:C,B:B))</f>
        <v/>
      </c>
    </row>
    <row r="186" spans="1:5">
      <c r="A186" s="2" t="str">
        <f>IF(B186="","",MAX($A$2:A185)+1)</f>
        <v/>
      </c>
      <c r="B186" s="8"/>
      <c r="C186" s="22" t="str">
        <f>IF(ISNUMBER(SEARCH($D$1,B186)),LOOKUP(9.99999999999999E+307,C$1:C185)+1,"")</f>
        <v/>
      </c>
      <c r="E186" t="str">
        <f>IF(ROWS(E$2:E186)&gt;$E$1,"",LOOKUP(ROWS(E$2:E186),C:C,B:B))</f>
        <v/>
      </c>
    </row>
    <row r="187" spans="1:5">
      <c r="A187" s="2" t="str">
        <f>IF(B187="","",MAX($A$2:A186)+1)</f>
        <v/>
      </c>
      <c r="B187" s="8"/>
      <c r="C187" s="22" t="str">
        <f>IF(ISNUMBER(SEARCH($D$1,B187)),LOOKUP(9.99999999999999E+307,C$1:C186)+1,"")</f>
        <v/>
      </c>
      <c r="E187" t="str">
        <f>IF(ROWS(E$2:E187)&gt;$E$1,"",LOOKUP(ROWS(E$2:E187),C:C,B:B))</f>
        <v/>
      </c>
    </row>
    <row r="188" spans="1:5">
      <c r="A188" s="2" t="str">
        <f>IF(B188="","",MAX($A$2:A187)+1)</f>
        <v/>
      </c>
      <c r="B188" s="8"/>
      <c r="C188" s="22" t="str">
        <f>IF(ISNUMBER(SEARCH($D$1,B188)),LOOKUP(9.99999999999999E+307,C$1:C187)+1,"")</f>
        <v/>
      </c>
      <c r="E188" t="str">
        <f>IF(ROWS(E$2:E188)&gt;$E$1,"",LOOKUP(ROWS(E$2:E188),C:C,B:B))</f>
        <v/>
      </c>
    </row>
    <row r="189" spans="1:5">
      <c r="A189" s="2" t="str">
        <f>IF(B189="","",MAX($A$2:A188)+1)</f>
        <v/>
      </c>
      <c r="B189" s="8"/>
      <c r="C189" s="22" t="str">
        <f>IF(ISNUMBER(SEARCH($D$1,B189)),LOOKUP(9.99999999999999E+307,C$1:C188)+1,"")</f>
        <v/>
      </c>
      <c r="E189" t="str">
        <f>IF(ROWS(E$2:E189)&gt;$E$1,"",LOOKUP(ROWS(E$2:E189),C:C,B:B))</f>
        <v/>
      </c>
    </row>
    <row r="190" spans="1:5">
      <c r="A190" s="2" t="str">
        <f>IF(B190="","",MAX($A$2:A189)+1)</f>
        <v/>
      </c>
      <c r="B190" s="8"/>
      <c r="C190" s="22" t="str">
        <f>IF(ISNUMBER(SEARCH($D$1,B190)),LOOKUP(9.99999999999999E+307,C$1:C189)+1,"")</f>
        <v/>
      </c>
      <c r="E190" t="str">
        <f>IF(ROWS(E$2:E190)&gt;$E$1,"",LOOKUP(ROWS(E$2:E190),C:C,B:B))</f>
        <v/>
      </c>
    </row>
    <row r="191" spans="1:5">
      <c r="A191" s="2" t="str">
        <f>IF(B191="","",MAX($A$2:A190)+1)</f>
        <v/>
      </c>
      <c r="B191" s="8"/>
      <c r="C191" s="22" t="str">
        <f>IF(ISNUMBER(SEARCH($D$1,B191)),LOOKUP(9.99999999999999E+307,C$1:C190)+1,"")</f>
        <v/>
      </c>
      <c r="E191" t="str">
        <f>IF(ROWS(E$2:E191)&gt;$E$1,"",LOOKUP(ROWS(E$2:E191),C:C,B:B))</f>
        <v/>
      </c>
    </row>
    <row r="192" spans="1:5">
      <c r="A192" s="2" t="str">
        <f>IF(B192="","",MAX($A$2:A191)+1)</f>
        <v/>
      </c>
      <c r="B192" s="8"/>
      <c r="C192" s="22" t="str">
        <f>IF(ISNUMBER(SEARCH($D$1,B192)),LOOKUP(9.99999999999999E+307,C$1:C191)+1,"")</f>
        <v/>
      </c>
      <c r="E192" t="str">
        <f>IF(ROWS(E$2:E192)&gt;$E$1,"",LOOKUP(ROWS(E$2:E192),C:C,B:B))</f>
        <v/>
      </c>
    </row>
    <row r="193" spans="1:5">
      <c r="A193" s="2" t="str">
        <f>IF(B193="","",MAX($A$2:A192)+1)</f>
        <v/>
      </c>
      <c r="B193" s="8"/>
      <c r="C193" s="22" t="str">
        <f>IF(ISNUMBER(SEARCH($D$1,B193)),LOOKUP(9.99999999999999E+307,C$1:C192)+1,"")</f>
        <v/>
      </c>
      <c r="E193" t="str">
        <f>IF(ROWS(E$2:E193)&gt;$E$1,"",LOOKUP(ROWS(E$2:E193),C:C,B:B))</f>
        <v/>
      </c>
    </row>
    <row r="194" spans="1:5">
      <c r="A194" s="2" t="str">
        <f>IF(B194="","",MAX($A$2:A193)+1)</f>
        <v/>
      </c>
      <c r="B194" s="8"/>
      <c r="C194" s="22" t="str">
        <f>IF(ISNUMBER(SEARCH($D$1,B194)),LOOKUP(9.99999999999999E+307,C$1:C193)+1,"")</f>
        <v/>
      </c>
      <c r="E194" t="str">
        <f>IF(ROWS(E$2:E194)&gt;$E$1,"",LOOKUP(ROWS(E$2:E194),C:C,B:B))</f>
        <v/>
      </c>
    </row>
    <row r="195" spans="1:5">
      <c r="A195" s="2" t="str">
        <f>IF(B195="","",MAX($A$2:A194)+1)</f>
        <v/>
      </c>
      <c r="B195" s="8"/>
      <c r="C195" s="22" t="str">
        <f>IF(ISNUMBER(SEARCH($D$1,B195)),LOOKUP(9.99999999999999E+307,C$1:C194)+1,"")</f>
        <v/>
      </c>
      <c r="E195" t="str">
        <f>IF(ROWS(E$2:E195)&gt;$E$1,"",LOOKUP(ROWS(E$2:E195),C:C,B:B))</f>
        <v/>
      </c>
    </row>
    <row r="196" spans="1:5">
      <c r="A196" s="2" t="str">
        <f>IF(B196="","",MAX($A$2:A195)+1)</f>
        <v/>
      </c>
      <c r="B196" s="8"/>
      <c r="C196" s="22" t="str">
        <f>IF(ISNUMBER(SEARCH($D$1,B196)),LOOKUP(9.99999999999999E+307,C$1:C195)+1,"")</f>
        <v/>
      </c>
      <c r="E196" t="str">
        <f>IF(ROWS(E$2:E196)&gt;$E$1,"",LOOKUP(ROWS(E$2:E196),C:C,B:B))</f>
        <v/>
      </c>
    </row>
    <row r="197" spans="1:5">
      <c r="A197" s="2" t="str">
        <f>IF(B197="","",MAX($A$2:A196)+1)</f>
        <v/>
      </c>
      <c r="B197" s="8"/>
      <c r="C197" s="22" t="str">
        <f>IF(ISNUMBER(SEARCH($D$1,B197)),LOOKUP(9.99999999999999E+307,C$1:C196)+1,"")</f>
        <v/>
      </c>
      <c r="E197" t="str">
        <f>IF(ROWS(E$2:E197)&gt;$E$1,"",LOOKUP(ROWS(E$2:E197),C:C,B:B))</f>
        <v/>
      </c>
    </row>
    <row r="198" spans="1:5">
      <c r="A198" s="4" t="s">
        <v>59</v>
      </c>
      <c r="B198" s="4" t="s">
        <v>59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E21"/>
  <sheetViews>
    <sheetView workbookViewId="0">
      <selection activeCell="G25" sqref="G25"/>
    </sheetView>
  </sheetViews>
  <sheetFormatPr defaultRowHeight="15"/>
  <cols>
    <col min="2" max="2" width="29" customWidth="1"/>
  </cols>
  <sheetData>
    <row r="1" spans="1:5">
      <c r="A1" s="5" t="s">
        <v>1</v>
      </c>
      <c r="B1" s="5" t="s">
        <v>60</v>
      </c>
      <c r="C1">
        <v>0</v>
      </c>
      <c r="D1" s="23" t="e">
        <f>IF(#REF!="","",#REF!)</f>
        <v>#REF!</v>
      </c>
      <c r="E1">
        <f>LOOKUP(9.99999999999999E+307,C:C)</f>
        <v>0</v>
      </c>
    </row>
    <row r="2" spans="1:5">
      <c r="A2" s="9">
        <v>101</v>
      </c>
      <c r="B2" s="10" t="s">
        <v>61</v>
      </c>
      <c r="C2" t="str">
        <f>IF(ISNUMBER(SEARCH($D$1,B2)),LOOKUP(9.99999999999999E+307,C$1:C1)+1,"")</f>
        <v/>
      </c>
      <c r="E2" t="str">
        <f>IF(ROWS(E$2:E2)&gt;$E$1,"",LOOKUP(ROWS(E$2:E2),C:C,B:B))</f>
        <v/>
      </c>
    </row>
    <row r="3" spans="1:5">
      <c r="A3" s="9">
        <f>IF(B3="","",MAX($A$2:A2)+1)</f>
        <v>102</v>
      </c>
      <c r="B3" s="10" t="s">
        <v>63</v>
      </c>
      <c r="C3" t="str">
        <f>IF(ISNUMBER(SEARCH($D$1,B3)),LOOKUP(9.99999999999999E+307,C$1:C2)+1,"")</f>
        <v/>
      </c>
      <c r="E3" t="str">
        <f>IF(ROWS(E$2:E3)&gt;$E$1,"",LOOKUP(ROWS(E$2:E3),C:C,B:B))</f>
        <v/>
      </c>
    </row>
    <row r="4" spans="1:5">
      <c r="A4" s="9">
        <f>IF(B4="","",MAX($A$2:A3)+1)</f>
        <v>103</v>
      </c>
      <c r="B4" s="10" t="s">
        <v>62</v>
      </c>
      <c r="C4" t="str">
        <f>IF(ISNUMBER(SEARCH($D$1,B4)),LOOKUP(9.99999999999999E+307,C$1:C3)+1,"")</f>
        <v/>
      </c>
      <c r="E4" t="str">
        <f>IF(ROWS(E$2:E4)&gt;$E$1,"",LOOKUP(ROWS(E$2:E4),C:C,B:B))</f>
        <v/>
      </c>
    </row>
    <row r="5" spans="1:5">
      <c r="A5" s="9">
        <f>IF(B5="","",MAX($A$2:A4)+1)</f>
        <v>104</v>
      </c>
      <c r="B5" s="10" t="s">
        <v>65</v>
      </c>
      <c r="C5" t="str">
        <f>IF(ISNUMBER(SEARCH($D$1,B5)),LOOKUP(9.99999999999999E+307,C$1:C4)+1,"")</f>
        <v/>
      </c>
      <c r="E5" t="str">
        <f>IF(ROWS(E$2:E5)&gt;$E$1,"",LOOKUP(ROWS(E$2:E5),C:C,B:B))</f>
        <v/>
      </c>
    </row>
    <row r="6" spans="1:5">
      <c r="A6" s="9">
        <f>IF(B6="","",MAX($A$2:A5)+1)</f>
        <v>105</v>
      </c>
      <c r="B6" s="10" t="s">
        <v>64</v>
      </c>
      <c r="C6" t="str">
        <f>IF(ISNUMBER(SEARCH($D$1,B6)),LOOKUP(9.99999999999999E+307,C$1:C5)+1,"")</f>
        <v/>
      </c>
      <c r="E6" t="str">
        <f>IF(ROWS(E$2:E6)&gt;$E$1,"",LOOKUP(ROWS(E$2:E6),C:C,B:B))</f>
        <v/>
      </c>
    </row>
    <row r="7" spans="1:5">
      <c r="A7" s="9">
        <f>IF(B7="","",MAX($A$2:A6)+1)</f>
        <v>106</v>
      </c>
      <c r="B7" s="10" t="s">
        <v>202</v>
      </c>
      <c r="C7" t="str">
        <f>IF(ISNUMBER(SEARCH($D$1,B7)),LOOKUP(9.99999999999999E+307,C$1:C6)+1,"")</f>
        <v/>
      </c>
      <c r="E7" t="str">
        <f>IF(ROWS(E$2:E7)&gt;$E$1,"",LOOKUP(ROWS(E$2:E7),C:C,B:B))</f>
        <v/>
      </c>
    </row>
    <row r="8" spans="1:5">
      <c r="A8" s="9">
        <f>IF(B8="","",MAX($A$2:A7)+1)</f>
        <v>107</v>
      </c>
      <c r="B8" s="10" t="s">
        <v>203</v>
      </c>
      <c r="C8" t="str">
        <f>IF(ISNUMBER(SEARCH($D$1,B8)),LOOKUP(9.99999999999999E+307,C$1:C7)+1,"")</f>
        <v/>
      </c>
      <c r="E8" t="str">
        <f>IF(ROWS(E$2:E8)&gt;$E$1,"",LOOKUP(ROWS(E$2:E8),C:C,B:B))</f>
        <v/>
      </c>
    </row>
    <row r="9" spans="1:5">
      <c r="A9" s="9">
        <f>IF(B9="","",MAX($A$2:A8)+1)</f>
        <v>108</v>
      </c>
      <c r="B9" s="10" t="s">
        <v>66</v>
      </c>
      <c r="C9" t="str">
        <f>IF(ISNUMBER(SEARCH($D$1,B9)),LOOKUP(9.99999999999999E+307,C$1:C8)+1,"")</f>
        <v/>
      </c>
      <c r="E9" t="str">
        <f>IF(ROWS(E$2:E9)&gt;$E$1,"",LOOKUP(ROWS(E$2:E9),C:C,B:B))</f>
        <v/>
      </c>
    </row>
    <row r="10" spans="1:5">
      <c r="A10" s="9">
        <f>IF(B10="","",MAX($A$2:A9)+1)</f>
        <v>109</v>
      </c>
      <c r="B10" s="10" t="s">
        <v>68</v>
      </c>
      <c r="C10" t="str">
        <f>IF(ISNUMBER(SEARCH($D$1,B10)),LOOKUP(9.99999999999999E+307,C$1:C9)+1,"")</f>
        <v/>
      </c>
      <c r="E10" t="str">
        <f>IF(ROWS(E$2:E10)&gt;$E$1,"",LOOKUP(ROWS(E$2:E10),C:C,B:B))</f>
        <v/>
      </c>
    </row>
    <row r="11" spans="1:5">
      <c r="A11" s="9">
        <f>IF(B11="","",MAX($A$2:A10)+1)</f>
        <v>110</v>
      </c>
      <c r="B11" s="10" t="s">
        <v>67</v>
      </c>
      <c r="C11" t="str">
        <f>IF(ISNUMBER(SEARCH($D$1,B11)),LOOKUP(9.99999999999999E+307,C$1:C10)+1,"")</f>
        <v/>
      </c>
      <c r="E11" t="str">
        <f>IF(ROWS(E$2:E11)&gt;$E$1,"",LOOKUP(ROWS(E$2:E11),C:C,B:B))</f>
        <v/>
      </c>
    </row>
    <row r="12" spans="1:5">
      <c r="A12" s="9">
        <f>IF(B12="","",MAX($A$2:A11)+1)</f>
        <v>111</v>
      </c>
      <c r="B12" s="10" t="s">
        <v>69</v>
      </c>
      <c r="C12" t="str">
        <f>IF(ISNUMBER(SEARCH($D$1,B12)),LOOKUP(9.99999999999999E+307,C$1:C11)+1,"")</f>
        <v/>
      </c>
      <c r="E12" t="str">
        <f>IF(ROWS(E$2:E12)&gt;$E$1,"",LOOKUP(ROWS(E$2:E12),C:C,B:B))</f>
        <v/>
      </c>
    </row>
    <row r="13" spans="1:5">
      <c r="A13" s="9">
        <f>IF(B13="","",MAX($A$2:A12)+1)</f>
        <v>112</v>
      </c>
      <c r="B13" s="10" t="s">
        <v>70</v>
      </c>
      <c r="C13" t="str">
        <f>IF(ISNUMBER(SEARCH($D$1,B13)),LOOKUP(9.99999999999999E+307,C$1:C12)+1,"")</f>
        <v/>
      </c>
      <c r="E13" t="str">
        <f>IF(ROWS(E$2:E13)&gt;$E$1,"",LOOKUP(ROWS(E$2:E13),C:C,B:B))</f>
        <v/>
      </c>
    </row>
    <row r="14" spans="1:5">
      <c r="A14" s="9">
        <f>IF(B14="","",MAX($A$2:A13)+1)</f>
        <v>113</v>
      </c>
      <c r="B14" s="10" t="s">
        <v>72</v>
      </c>
      <c r="C14" t="str">
        <f>IF(ISNUMBER(SEARCH($D$1,B14)),LOOKUP(9.99999999999999E+307,C$1:C13)+1,"")</f>
        <v/>
      </c>
      <c r="E14" t="str">
        <f>IF(ROWS(E$2:E14)&gt;$E$1,"",LOOKUP(ROWS(E$2:E14),C:C,B:B))</f>
        <v/>
      </c>
    </row>
    <row r="15" spans="1:5">
      <c r="A15" s="9">
        <f>IF(B15="","",MAX($A$2:A14)+1)</f>
        <v>114</v>
      </c>
      <c r="B15" s="10" t="s">
        <v>71</v>
      </c>
      <c r="C15" t="str">
        <f>IF(ISNUMBER(SEARCH($D$1,B15)),LOOKUP(9.99999999999999E+307,C$1:C14)+1,"")</f>
        <v/>
      </c>
      <c r="E15" t="str">
        <f>IF(ROWS(E$2:E15)&gt;$E$1,"",LOOKUP(ROWS(E$2:E15),C:C,B:B))</f>
        <v/>
      </c>
    </row>
    <row r="16" spans="1:5">
      <c r="A16" s="9">
        <f>IF(B16="","",MAX($A$2:A15)+1)</f>
        <v>115</v>
      </c>
      <c r="B16" s="10" t="s">
        <v>73</v>
      </c>
      <c r="C16" t="str">
        <f>IF(ISNUMBER(SEARCH($D$1,B16)),LOOKUP(9.99999999999999E+307,C$1:C15)+1,"")</f>
        <v/>
      </c>
      <c r="E16" t="str">
        <f>IF(ROWS(E$2:E16)&gt;$E$1,"",LOOKUP(ROWS(E$2:E16),C:C,B:B))</f>
        <v/>
      </c>
    </row>
    <row r="17" spans="1:5">
      <c r="A17" s="9">
        <f>IF(B17="","",MAX($A$2:A16)+1)</f>
        <v>116</v>
      </c>
      <c r="B17" s="10" t="s">
        <v>74</v>
      </c>
      <c r="C17" t="str">
        <f>IF(ISNUMBER(SEARCH($D$1,B17)),LOOKUP(9.99999999999999E+307,C$1:C16)+1,"")</f>
        <v/>
      </c>
      <c r="E17" t="str">
        <f>IF(ROWS(E$2:E17)&gt;$E$1,"",LOOKUP(ROWS(E$2:E17),C:C,B:B))</f>
        <v/>
      </c>
    </row>
    <row r="18" spans="1:5">
      <c r="A18" s="9">
        <f>IF(B18="","",MAX($A$2:A17)+1)</f>
        <v>117</v>
      </c>
      <c r="B18" s="10" t="s">
        <v>115</v>
      </c>
      <c r="C18" t="str">
        <f>IF(ISNUMBER(SEARCH($D$1,B18)),LOOKUP(9.99999999999999E+307,C$1:C17)+1,"")</f>
        <v/>
      </c>
      <c r="E18" t="str">
        <f>IF(ROWS(E$2:E18)&gt;$E$1,"",LOOKUP(ROWS(E$2:E18),C:C,B:B))</f>
        <v/>
      </c>
    </row>
    <row r="19" spans="1:5">
      <c r="A19" s="9">
        <f>IF(B19="","",MAX($A$2:A18)+1)</f>
        <v>118</v>
      </c>
      <c r="B19" s="10" t="s">
        <v>117</v>
      </c>
      <c r="C19" t="str">
        <f>IF(ISNUMBER(SEARCH($D$1,B19)),LOOKUP(9.99999999999999E+307,C$1:C18)+1,"")</f>
        <v/>
      </c>
      <c r="E19" t="str">
        <f>IF(ROWS(E$2:E19)&gt;$E$1,"",LOOKUP(ROWS(E$2:E19),C:C,B:B))</f>
        <v/>
      </c>
    </row>
    <row r="20" spans="1:5">
      <c r="A20" s="9" t="str">
        <f>IF(B20="","",MAX($A$2:A19)+1)</f>
        <v/>
      </c>
      <c r="B20" s="10"/>
      <c r="C20" t="str">
        <f>IF(ISNUMBER(SEARCH($D$1,B20)),LOOKUP(9.99999999999999E+307,C$1:C19)+1,"")</f>
        <v/>
      </c>
      <c r="E20" t="str">
        <f>IF(ROWS(E$2:E20)&gt;$E$1,"",LOOKUP(ROWS(E$2:E20),C:C,B:B))</f>
        <v/>
      </c>
    </row>
    <row r="21" spans="1:5">
      <c r="A21" s="9" t="str">
        <f>IF(B21="","",MAX($A$2:A20)+1)</f>
        <v/>
      </c>
      <c r="B21" s="10"/>
      <c r="C21" t="str">
        <f>IF(ISNUMBER(SEARCH($D$1,B21)),LOOKUP(9.99999999999999E+307,C$1:C20)+1,"")</f>
        <v/>
      </c>
      <c r="E21" t="str">
        <f>IF(ROWS(E$2:E21)&gt;$E$1,"",LOOKUP(ROWS(E$2:E21),C:C,B:B))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Report</vt:lpstr>
      <vt:lpstr>TaxInvoice</vt:lpstr>
      <vt:lpstr>Data</vt:lpstr>
      <vt:lpstr>Creditor</vt:lpstr>
      <vt:lpstr>Site</vt:lpstr>
      <vt:lpstr>Report!Criteria</vt:lpstr>
      <vt:lpstr>Report!Extract</vt:lpstr>
      <vt:lpstr>Site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Personal</cp:lastModifiedBy>
  <cp:lastPrinted>2012-02-11T17:10:37Z</cp:lastPrinted>
  <dcterms:created xsi:type="dcterms:W3CDTF">2012-01-19T03:55:51Z</dcterms:created>
  <dcterms:modified xsi:type="dcterms:W3CDTF">2012-02-13T15:11:53Z</dcterms:modified>
</cp:coreProperties>
</file>