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" windowWidth="9720" windowHeight="9015" tabRatio="739" activeTab="17"/>
  </bookViews>
  <sheets>
    <sheet name="01" sheetId="3" r:id="rId1"/>
    <sheet name="02" sheetId="4" r:id="rId2"/>
    <sheet name="03" sheetId="5" r:id="rId3"/>
    <sheet name="04" sheetId="6" r:id="rId4"/>
    <sheet name="05" sheetId="7" r:id="rId5"/>
    <sheet name="06" sheetId="8" r:id="rId6"/>
    <sheet name="07" sheetId="1" r:id="rId7"/>
    <sheet name="08" sheetId="9" r:id="rId8"/>
    <sheet name="09" sheetId="11" r:id="rId9"/>
    <sheet name="10" sheetId="15" r:id="rId10"/>
    <sheet name="11" sheetId="17" r:id="rId11"/>
    <sheet name="12" sheetId="18" r:id="rId12"/>
    <sheet name="13" sheetId="19" r:id="rId13"/>
    <sheet name="14" sheetId="20" r:id="rId14"/>
    <sheet name="15" sheetId="21" r:id="rId15"/>
    <sheet name="16" sheetId="22" r:id="rId16"/>
    <sheet name="ST" sheetId="25" r:id="rId17"/>
    <sheet name="DSUM" sheetId="26" r:id="rId18"/>
  </sheets>
  <definedNames>
    <definedName name="Mday">ST!$B$2:$B$32</definedName>
  </definedNames>
  <calcPr calcId="125725"/>
  <customWorkbookViews>
    <customWorkbookView name="Front - Personal View" guid="{A37AB39E-A6A7-4C2E-B017-BD54CB8A3967}" mergeInterval="0" personalView="1" maximized="1" xWindow="1" yWindow="1" windowWidth="1596" windowHeight="671" tabRatio="739" activeSheetId="1"/>
  </customWorkbookViews>
</workbook>
</file>

<file path=xl/calcChain.xml><?xml version="1.0" encoding="utf-8"?>
<calcChain xmlns="http://schemas.openxmlformats.org/spreadsheetml/2006/main">
  <c r="AD23" i="6"/>
  <c r="AD15"/>
  <c r="AD24"/>
  <c r="AD13"/>
  <c r="AD14"/>
  <c r="AD10"/>
  <c r="AD25"/>
  <c r="AD9"/>
  <c r="AD8"/>
  <c r="AD7"/>
  <c r="AD5"/>
  <c r="AD16" i="19"/>
  <c r="AD15"/>
  <c r="AD24"/>
  <c r="AD13"/>
  <c r="AD14"/>
  <c r="AD10"/>
  <c r="AD25"/>
  <c r="AE10"/>
  <c r="AE25"/>
  <c r="AF10"/>
  <c r="AF25"/>
  <c r="AG10"/>
  <c r="AG25"/>
  <c r="AD9"/>
  <c r="AD8"/>
  <c r="AD7"/>
  <c r="AD5"/>
  <c r="AD16" i="8"/>
  <c r="AD15"/>
  <c r="AD24"/>
  <c r="AD13"/>
  <c r="AD14"/>
  <c r="AD10"/>
  <c r="AD25"/>
  <c r="AD9"/>
  <c r="AD8"/>
  <c r="AD7"/>
  <c r="AD5"/>
  <c r="AD23" i="5"/>
  <c r="AD16"/>
  <c r="AD15"/>
  <c r="AD24"/>
  <c r="AD13"/>
  <c r="AD12"/>
  <c r="AD14"/>
  <c r="AD10"/>
  <c r="AD25"/>
  <c r="AD9"/>
  <c r="AD8"/>
  <c r="AD5"/>
  <c r="AD7"/>
  <c r="AD24" i="11"/>
  <c r="AD13"/>
  <c r="AD14"/>
  <c r="AD10"/>
  <c r="AD9"/>
  <c r="AD8"/>
  <c r="AD5"/>
  <c r="AD7"/>
  <c r="AD25"/>
  <c r="AD24" i="21"/>
  <c r="AD14"/>
  <c r="AD13"/>
  <c r="AD10"/>
  <c r="AD25"/>
  <c r="AD9"/>
  <c r="AD8"/>
  <c r="AD5"/>
  <c r="AD7"/>
  <c r="AD24" i="20"/>
  <c r="AD13"/>
  <c r="AD14"/>
  <c r="AD10"/>
  <c r="AD9"/>
  <c r="AD8"/>
  <c r="AD7"/>
  <c r="AD5"/>
  <c r="AD25"/>
  <c r="AD24" i="15"/>
  <c r="AD13"/>
  <c r="AD14"/>
  <c r="AD10"/>
  <c r="AD25"/>
  <c r="AD9"/>
  <c r="AD8"/>
  <c r="AD7"/>
  <c r="AD5"/>
  <c r="AD24" i="22"/>
  <c r="AD14"/>
  <c r="AD25"/>
  <c r="AD10"/>
  <c r="AD9"/>
  <c r="AD8"/>
  <c r="AD7"/>
  <c r="AD5"/>
  <c r="AD23" i="3"/>
  <c r="AD16"/>
  <c r="AD15"/>
  <c r="AD24"/>
  <c r="AD13"/>
  <c r="AD12"/>
  <c r="AD14"/>
  <c r="AD10"/>
  <c r="AD25"/>
  <c r="AD9"/>
  <c r="AD8"/>
  <c r="AD5"/>
  <c r="AD7"/>
  <c r="AD23" i="9"/>
  <c r="AD16"/>
  <c r="AD24"/>
  <c r="AD15"/>
  <c r="AD13"/>
  <c r="AD12"/>
  <c r="AD14"/>
  <c r="AD10"/>
  <c r="AD25"/>
  <c r="AD9"/>
  <c r="AD8"/>
  <c r="AD7"/>
  <c r="AD5"/>
  <c r="AD23" i="1"/>
  <c r="AD16"/>
  <c r="AD15"/>
  <c r="AD24"/>
  <c r="AD13"/>
  <c r="AD12"/>
  <c r="AD11"/>
  <c r="AD14"/>
  <c r="AD25"/>
  <c r="AD8"/>
  <c r="AD5"/>
  <c r="AD7"/>
  <c r="AD9"/>
  <c r="AD24" i="4"/>
  <c r="AD16"/>
  <c r="AD15"/>
  <c r="AD13"/>
  <c r="AD12"/>
  <c r="AD14"/>
  <c r="AD10"/>
  <c r="AD25"/>
  <c r="AD9"/>
  <c r="AD7"/>
  <c r="AD5"/>
  <c r="AD24" i="17"/>
  <c r="AD14"/>
  <c r="AD25"/>
  <c r="AD9"/>
  <c r="AD8"/>
  <c r="AD7"/>
  <c r="AD24" i="7"/>
  <c r="AD23"/>
  <c r="AD16"/>
  <c r="AD15"/>
  <c r="AD12"/>
  <c r="AD13"/>
  <c r="AD10"/>
  <c r="AD9"/>
  <c r="AD8"/>
  <c r="AD7"/>
  <c r="AD5"/>
  <c r="AD14"/>
  <c r="AD25"/>
  <c r="AE10"/>
  <c r="AD24" i="18"/>
  <c r="AD15"/>
  <c r="AD14"/>
  <c r="AD13"/>
  <c r="AD10"/>
  <c r="AD25"/>
  <c r="AD9"/>
  <c r="AD8"/>
  <c r="AD5"/>
  <c r="AD7"/>
  <c r="AE10" i="5"/>
  <c r="AE25"/>
  <c r="AF10"/>
  <c r="AF25"/>
  <c r="AG10"/>
  <c r="AG25"/>
  <c r="B6" i="11"/>
  <c r="B8"/>
  <c r="B6" i="9"/>
  <c r="B6" i="3"/>
  <c r="B6" i="5"/>
  <c r="B6" i="8"/>
  <c r="AC23" i="5"/>
  <c r="AC16"/>
  <c r="AC24"/>
  <c r="AC15"/>
  <c r="AC12"/>
  <c r="AC13"/>
  <c r="AC10"/>
  <c r="AC9"/>
  <c r="AC8"/>
  <c r="AC7"/>
  <c r="AC5"/>
  <c r="AC14"/>
  <c r="AC25"/>
  <c r="AC23" i="6"/>
  <c r="AC16"/>
  <c r="AC24"/>
  <c r="AC15"/>
  <c r="AC14"/>
  <c r="AC13"/>
  <c r="AC10"/>
  <c r="AC25"/>
  <c r="AC9"/>
  <c r="AC8"/>
  <c r="AC5"/>
  <c r="AC7"/>
  <c r="AC23" i="19"/>
  <c r="AC16"/>
  <c r="AC15"/>
  <c r="AC24"/>
  <c r="AC13"/>
  <c r="AC12"/>
  <c r="AC14"/>
  <c r="AC10"/>
  <c r="AC9"/>
  <c r="AC8"/>
  <c r="AC5"/>
  <c r="AC7"/>
  <c r="AC25"/>
  <c r="AC24" i="22"/>
  <c r="AC14"/>
  <c r="AC10"/>
  <c r="AC25"/>
  <c r="AC9"/>
  <c r="AC8"/>
  <c r="AC5"/>
  <c r="AC7"/>
  <c r="X9" i="21"/>
  <c r="X8"/>
  <c r="AB24"/>
  <c r="AB13"/>
  <c r="AB14"/>
  <c r="AB10"/>
  <c r="AB9"/>
  <c r="AB8"/>
  <c r="AB7"/>
  <c r="AB5"/>
  <c r="AC24"/>
  <c r="AC13"/>
  <c r="AC14"/>
  <c r="AC9"/>
  <c r="AC8"/>
  <c r="AC7"/>
  <c r="AC5"/>
  <c r="AB25"/>
  <c r="AC10"/>
  <c r="AC25"/>
  <c r="AC24" i="15"/>
  <c r="AC14"/>
  <c r="AC10"/>
  <c r="AC25"/>
  <c r="AC9"/>
  <c r="AC8"/>
  <c r="AC5"/>
  <c r="AC7"/>
  <c r="AC24" i="20"/>
  <c r="AC13"/>
  <c r="AC14"/>
  <c r="AC10"/>
  <c r="AC9"/>
  <c r="AC8"/>
  <c r="AC7"/>
  <c r="AC5"/>
  <c r="AC25"/>
  <c r="AG24" i="11"/>
  <c r="AF24"/>
  <c r="AE24"/>
  <c r="AC24"/>
  <c r="AB24"/>
  <c r="AA24"/>
  <c r="Z24"/>
  <c r="Y24"/>
  <c r="X24"/>
  <c r="W24"/>
  <c r="V24"/>
  <c r="U24"/>
  <c r="T24"/>
  <c r="S24"/>
  <c r="R24"/>
  <c r="Q24"/>
  <c r="P24"/>
  <c r="O24"/>
  <c r="M24"/>
  <c r="L24"/>
  <c r="K24"/>
  <c r="J24"/>
  <c r="I24"/>
  <c r="H24"/>
  <c r="G24"/>
  <c r="F24"/>
  <c r="E24"/>
  <c r="C24"/>
  <c r="B23"/>
  <c r="B22"/>
  <c r="B21"/>
  <c r="B20"/>
  <c r="B19"/>
  <c r="B18"/>
  <c r="B17"/>
  <c r="B16"/>
  <c r="V15"/>
  <c r="N15"/>
  <c r="N24"/>
  <c r="J15"/>
  <c r="D15"/>
  <c r="D24"/>
  <c r="AG14"/>
  <c r="AF14"/>
  <c r="AE14"/>
  <c r="AC14"/>
  <c r="AB14"/>
  <c r="AA14"/>
  <c r="Z14"/>
  <c r="X14"/>
  <c r="W14"/>
  <c r="T14"/>
  <c r="S14"/>
  <c r="R14"/>
  <c r="Q14"/>
  <c r="P14"/>
  <c r="O14"/>
  <c r="M14"/>
  <c r="L14"/>
  <c r="J14"/>
  <c r="I14"/>
  <c r="F14"/>
  <c r="E14"/>
  <c r="C14"/>
  <c r="C25"/>
  <c r="D10"/>
  <c r="Y13"/>
  <c r="Y14"/>
  <c r="V13"/>
  <c r="V14"/>
  <c r="U13"/>
  <c r="U14"/>
  <c r="N13"/>
  <c r="N14"/>
  <c r="K13"/>
  <c r="K14"/>
  <c r="H13"/>
  <c r="H14"/>
  <c r="G13"/>
  <c r="G14"/>
  <c r="D13"/>
  <c r="D14"/>
  <c r="B13"/>
  <c r="B12"/>
  <c r="B11"/>
  <c r="B14"/>
  <c r="B25"/>
  <c r="AG9"/>
  <c r="AF9"/>
  <c r="AE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G8"/>
  <c r="AF8"/>
  <c r="AE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G5"/>
  <c r="AF5"/>
  <c r="AE5"/>
  <c r="AC5"/>
  <c r="AC7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5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AE10"/>
  <c r="AE25"/>
  <c r="AF10"/>
  <c r="AF25"/>
  <c r="AG10"/>
  <c r="AG25"/>
  <c r="B15"/>
  <c r="B24"/>
  <c r="AC23" i="1"/>
  <c r="AC16"/>
  <c r="AC24"/>
  <c r="AC15"/>
  <c r="AC13"/>
  <c r="AC11"/>
  <c r="AC9"/>
  <c r="AC8"/>
  <c r="AC5"/>
  <c r="AC7"/>
  <c r="AC14"/>
  <c r="AC25"/>
  <c r="AC23" i="8"/>
  <c r="AC16"/>
  <c r="AC24"/>
  <c r="AC15"/>
  <c r="AC13"/>
  <c r="AC12"/>
  <c r="AC14"/>
  <c r="AC10"/>
  <c r="AC25"/>
  <c r="AC9"/>
  <c r="AC8"/>
  <c r="AC7"/>
  <c r="AC5"/>
  <c r="AC16" i="18"/>
  <c r="AC15"/>
  <c r="AC24"/>
  <c r="AC13"/>
  <c r="AC14"/>
  <c r="AC10"/>
  <c r="AC25"/>
  <c r="AC9"/>
  <c r="AC8"/>
  <c r="AC7"/>
  <c r="AC5"/>
  <c r="AC5" i="9"/>
  <c r="AC7"/>
  <c r="AC8"/>
  <c r="AC9"/>
  <c r="AC12"/>
  <c r="AC13"/>
  <c r="AC14"/>
  <c r="AC15"/>
  <c r="AC16"/>
  <c r="AC23"/>
  <c r="AC24"/>
  <c r="AC16" i="4"/>
  <c r="AC15"/>
  <c r="AC24"/>
  <c r="AC12"/>
  <c r="AC13"/>
  <c r="AC10"/>
  <c r="AC9"/>
  <c r="AC5"/>
  <c r="AC7"/>
  <c r="AC14"/>
  <c r="AC25"/>
  <c r="AC23" i="7"/>
  <c r="AC16"/>
  <c r="AC15"/>
  <c r="AC24"/>
  <c r="AC13"/>
  <c r="AC12"/>
  <c r="AC14"/>
  <c r="AC9"/>
  <c r="AC8"/>
  <c r="AC5"/>
  <c r="AC7"/>
  <c r="AC23" i="3"/>
  <c r="AC16"/>
  <c r="AC24"/>
  <c r="AC15"/>
  <c r="AC12"/>
  <c r="AC13"/>
  <c r="AC10"/>
  <c r="AC9"/>
  <c r="AC8"/>
  <c r="AC7"/>
  <c r="AC5"/>
  <c r="AC14"/>
  <c r="AC25"/>
  <c r="AC24" i="17"/>
  <c r="AC14"/>
  <c r="AC25"/>
  <c r="AC9"/>
  <c r="AC8"/>
  <c r="AC7"/>
  <c r="AC5"/>
  <c r="AG24" i="21"/>
  <c r="AF24"/>
  <c r="AE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B16"/>
  <c r="B15"/>
  <c r="AG14"/>
  <c r="AF14"/>
  <c r="AE14"/>
  <c r="C13"/>
  <c r="C14"/>
  <c r="C25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B12"/>
  <c r="D11"/>
  <c r="B11"/>
  <c r="AG9"/>
  <c r="AF9"/>
  <c r="AE9"/>
  <c r="AA9"/>
  <c r="Z9"/>
  <c r="Y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X7"/>
  <c r="B6"/>
  <c r="AG5"/>
  <c r="AF5"/>
  <c r="AE5"/>
  <c r="AA5"/>
  <c r="AA7"/>
  <c r="Z5"/>
  <c r="Z7"/>
  <c r="Y5"/>
  <c r="Y7"/>
  <c r="X5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8"/>
  <c r="B9"/>
  <c r="B24"/>
  <c r="B5"/>
  <c r="B7"/>
  <c r="D13"/>
  <c r="E13"/>
  <c r="E14"/>
  <c r="F13"/>
  <c r="F14"/>
  <c r="G13"/>
  <c r="G14"/>
  <c r="H13"/>
  <c r="H14"/>
  <c r="I13"/>
  <c r="I14"/>
  <c r="J13"/>
  <c r="J14"/>
  <c r="K13"/>
  <c r="K14"/>
  <c r="L13"/>
  <c r="L14"/>
  <c r="M13"/>
  <c r="M14"/>
  <c r="N13"/>
  <c r="N14"/>
  <c r="O13"/>
  <c r="O14"/>
  <c r="P13"/>
  <c r="P14"/>
  <c r="Q13"/>
  <c r="Q14"/>
  <c r="R13"/>
  <c r="R14"/>
  <c r="S13"/>
  <c r="S14"/>
  <c r="T13"/>
  <c r="T14"/>
  <c r="U13"/>
  <c r="U14"/>
  <c r="V13"/>
  <c r="V14"/>
  <c r="W13"/>
  <c r="W14"/>
  <c r="X13"/>
  <c r="X14"/>
  <c r="Y13"/>
  <c r="Y14"/>
  <c r="Z13"/>
  <c r="Z14"/>
  <c r="AA13"/>
  <c r="AA14"/>
  <c r="B13"/>
  <c r="B14"/>
  <c r="B25"/>
  <c r="D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E10"/>
  <c r="AE25"/>
  <c r="AF10"/>
  <c r="AF25"/>
  <c r="AG10"/>
  <c r="AG25"/>
  <c r="AG24" i="17"/>
  <c r="AF24"/>
  <c r="AE24"/>
  <c r="AB24"/>
  <c r="AA24"/>
  <c r="Z24"/>
  <c r="S24"/>
  <c r="R24"/>
  <c r="O24"/>
  <c r="N24"/>
  <c r="M24"/>
  <c r="L24"/>
  <c r="K24"/>
  <c r="J24"/>
  <c r="I24"/>
  <c r="H24"/>
  <c r="G24"/>
  <c r="F24"/>
  <c r="E24"/>
  <c r="D24"/>
  <c r="C24"/>
  <c r="Y23"/>
  <c r="Y24"/>
  <c r="X23"/>
  <c r="X24"/>
  <c r="W23"/>
  <c r="W24"/>
  <c r="V23"/>
  <c r="V24"/>
  <c r="U23"/>
  <c r="U24"/>
  <c r="T23"/>
  <c r="T24"/>
  <c r="R23"/>
  <c r="Q23"/>
  <c r="Q24"/>
  <c r="P23"/>
  <c r="P24"/>
  <c r="B23"/>
  <c r="B22"/>
  <c r="B21"/>
  <c r="B20"/>
  <c r="B19"/>
  <c r="B18"/>
  <c r="B17"/>
  <c r="B16"/>
  <c r="B15"/>
  <c r="B24"/>
  <c r="AG14"/>
  <c r="AF14"/>
  <c r="AE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B12"/>
  <c r="B14"/>
  <c r="B25"/>
  <c r="B11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AG24" i="15"/>
  <c r="AF24"/>
  <c r="AE24"/>
  <c r="AB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A23"/>
  <c r="B23"/>
  <c r="B22"/>
  <c r="B21"/>
  <c r="B20"/>
  <c r="B19"/>
  <c r="B18"/>
  <c r="B17"/>
  <c r="B16"/>
  <c r="B24"/>
  <c r="B15"/>
  <c r="AG14"/>
  <c r="AF14"/>
  <c r="AE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3"/>
  <c r="AB12"/>
  <c r="AB14"/>
  <c r="B12"/>
  <c r="B11"/>
  <c r="B9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Y7"/>
  <c r="U7"/>
  <c r="Q7"/>
  <c r="M7"/>
  <c r="I7"/>
  <c r="E7"/>
  <c r="B6"/>
  <c r="B8"/>
  <c r="AG5"/>
  <c r="AF5"/>
  <c r="AE5"/>
  <c r="AB5"/>
  <c r="AB7"/>
  <c r="AA5"/>
  <c r="AA7"/>
  <c r="Z5"/>
  <c r="Z7"/>
  <c r="Y5"/>
  <c r="X5"/>
  <c r="X7"/>
  <c r="W5"/>
  <c r="W7"/>
  <c r="V5"/>
  <c r="V7"/>
  <c r="U5"/>
  <c r="T5"/>
  <c r="T7"/>
  <c r="S5"/>
  <c r="S7"/>
  <c r="R5"/>
  <c r="R7"/>
  <c r="Q5"/>
  <c r="P5"/>
  <c r="P7"/>
  <c r="O5"/>
  <c r="O7"/>
  <c r="N5"/>
  <c r="N7"/>
  <c r="M5"/>
  <c r="L5"/>
  <c r="L7"/>
  <c r="K5"/>
  <c r="K7"/>
  <c r="J5"/>
  <c r="J7"/>
  <c r="I5"/>
  <c r="H5"/>
  <c r="H7"/>
  <c r="G5"/>
  <c r="G7"/>
  <c r="F5"/>
  <c r="F7"/>
  <c r="E5"/>
  <c r="D5"/>
  <c r="D7"/>
  <c r="C5"/>
  <c r="C7"/>
  <c r="B4"/>
  <c r="B3"/>
  <c r="B5"/>
  <c r="B7"/>
  <c r="AG24" i="20"/>
  <c r="AF24"/>
  <c r="AE24"/>
  <c r="AB24"/>
  <c r="AA24"/>
  <c r="Z24"/>
  <c r="Y24"/>
  <c r="X24"/>
  <c r="W24"/>
  <c r="T24"/>
  <c r="R24"/>
  <c r="Q24"/>
  <c r="P24"/>
  <c r="O24"/>
  <c r="M24"/>
  <c r="L24"/>
  <c r="K24"/>
  <c r="J24"/>
  <c r="I24"/>
  <c r="H24"/>
  <c r="G24"/>
  <c r="F24"/>
  <c r="E24"/>
  <c r="D24"/>
  <c r="C24"/>
  <c r="B23"/>
  <c r="B22"/>
  <c r="B21"/>
  <c r="B20"/>
  <c r="B19"/>
  <c r="B18"/>
  <c r="B17"/>
  <c r="U16"/>
  <c r="U24"/>
  <c r="S16"/>
  <c r="S24"/>
  <c r="N16"/>
  <c r="N24"/>
  <c r="V15"/>
  <c r="V24"/>
  <c r="AG14"/>
  <c r="AF14"/>
  <c r="AE14"/>
  <c r="AB14"/>
  <c r="AA14"/>
  <c r="Y14"/>
  <c r="X14"/>
  <c r="V14"/>
  <c r="T14"/>
  <c r="S14"/>
  <c r="Q14"/>
  <c r="P14"/>
  <c r="O14"/>
  <c r="K14"/>
  <c r="I14"/>
  <c r="G14"/>
  <c r="F14"/>
  <c r="E14"/>
  <c r="Z13"/>
  <c r="Z14"/>
  <c r="W13"/>
  <c r="W14"/>
  <c r="U13"/>
  <c r="U14"/>
  <c r="S13"/>
  <c r="R13"/>
  <c r="R14"/>
  <c r="N13"/>
  <c r="N14"/>
  <c r="M13"/>
  <c r="M14"/>
  <c r="L13"/>
  <c r="L14"/>
  <c r="J13"/>
  <c r="J14"/>
  <c r="H13"/>
  <c r="H14"/>
  <c r="D13"/>
  <c r="D14"/>
  <c r="C13"/>
  <c r="C14"/>
  <c r="C25"/>
  <c r="D10"/>
  <c r="D25"/>
  <c r="E10"/>
  <c r="E25"/>
  <c r="F10"/>
  <c r="F25"/>
  <c r="G10"/>
  <c r="G25"/>
  <c r="H10"/>
  <c r="B13"/>
  <c r="B12"/>
  <c r="B11"/>
  <c r="B14"/>
  <c r="B25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B8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AB23" i="5"/>
  <c r="AA23"/>
  <c r="Z23"/>
  <c r="X23"/>
  <c r="V23"/>
  <c r="U23"/>
  <c r="R23"/>
  <c r="Q23"/>
  <c r="P23"/>
  <c r="O23"/>
  <c r="M23"/>
  <c r="L23"/>
  <c r="K23"/>
  <c r="J23"/>
  <c r="I23"/>
  <c r="F23"/>
  <c r="E23"/>
  <c r="C23"/>
  <c r="B22"/>
  <c r="B21"/>
  <c r="B20"/>
  <c r="B19"/>
  <c r="B18"/>
  <c r="B17"/>
  <c r="AB16"/>
  <c r="AA16"/>
  <c r="Z16"/>
  <c r="Y16"/>
  <c r="X16"/>
  <c r="W16"/>
  <c r="V16"/>
  <c r="U16"/>
  <c r="T16"/>
  <c r="S16"/>
  <c r="R16"/>
  <c r="Q16"/>
  <c r="P16"/>
  <c r="O16"/>
  <c r="N16"/>
  <c r="M16"/>
  <c r="L16"/>
  <c r="J16"/>
  <c r="I16"/>
  <c r="H16"/>
  <c r="F16"/>
  <c r="D16"/>
  <c r="C16"/>
  <c r="B16"/>
  <c r="AB15"/>
  <c r="AA15"/>
  <c r="AA24"/>
  <c r="Z15"/>
  <c r="Y15"/>
  <c r="Y24"/>
  <c r="X15"/>
  <c r="W15"/>
  <c r="W24"/>
  <c r="V15"/>
  <c r="U15"/>
  <c r="U24"/>
  <c r="T15"/>
  <c r="S15"/>
  <c r="S24"/>
  <c r="R15"/>
  <c r="Q15"/>
  <c r="Q24"/>
  <c r="P15"/>
  <c r="O15"/>
  <c r="O24"/>
  <c r="N15"/>
  <c r="M15"/>
  <c r="M24"/>
  <c r="L15"/>
  <c r="K15"/>
  <c r="K24"/>
  <c r="J15"/>
  <c r="J24"/>
  <c r="I15"/>
  <c r="I24"/>
  <c r="H15"/>
  <c r="H24"/>
  <c r="G15"/>
  <c r="G24"/>
  <c r="F15"/>
  <c r="E15"/>
  <c r="E24"/>
  <c r="D15"/>
  <c r="D24"/>
  <c r="C15"/>
  <c r="C24"/>
  <c r="Y14"/>
  <c r="Y13"/>
  <c r="AB12"/>
  <c r="AB13"/>
  <c r="AA12"/>
  <c r="Z12"/>
  <c r="X12"/>
  <c r="X13"/>
  <c r="W12"/>
  <c r="W13"/>
  <c r="W14"/>
  <c r="V12"/>
  <c r="V13"/>
  <c r="U12"/>
  <c r="U13"/>
  <c r="U14"/>
  <c r="T12"/>
  <c r="T13"/>
  <c r="S12"/>
  <c r="S13"/>
  <c r="S14"/>
  <c r="R12"/>
  <c r="R13"/>
  <c r="Q12"/>
  <c r="Q13"/>
  <c r="Q14"/>
  <c r="P12"/>
  <c r="P13"/>
  <c r="O12"/>
  <c r="O13"/>
  <c r="O14"/>
  <c r="N12"/>
  <c r="N13"/>
  <c r="M12"/>
  <c r="M13"/>
  <c r="M14"/>
  <c r="L12"/>
  <c r="L13"/>
  <c r="K12"/>
  <c r="K13"/>
  <c r="K14"/>
  <c r="J12"/>
  <c r="J13"/>
  <c r="I12"/>
  <c r="I13"/>
  <c r="I14"/>
  <c r="H12"/>
  <c r="H13"/>
  <c r="G12"/>
  <c r="G13"/>
  <c r="G14"/>
  <c r="F12"/>
  <c r="F13"/>
  <c r="E12"/>
  <c r="E13"/>
  <c r="E14"/>
  <c r="D12"/>
  <c r="D13"/>
  <c r="C12"/>
  <c r="C13"/>
  <c r="AB11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Z7"/>
  <c r="V7"/>
  <c r="R7"/>
  <c r="N7"/>
  <c r="J7"/>
  <c r="F7"/>
  <c r="B7"/>
  <c r="AB5"/>
  <c r="AB7"/>
  <c r="AA5"/>
  <c r="AA7"/>
  <c r="Z5"/>
  <c r="Y5"/>
  <c r="Y7"/>
  <c r="X5"/>
  <c r="X7"/>
  <c r="W5"/>
  <c r="W7"/>
  <c r="V5"/>
  <c r="U5"/>
  <c r="U7"/>
  <c r="T5"/>
  <c r="T7"/>
  <c r="S5"/>
  <c r="S7"/>
  <c r="R5"/>
  <c r="Q5"/>
  <c r="Q7"/>
  <c r="P5"/>
  <c r="P7"/>
  <c r="O5"/>
  <c r="O7"/>
  <c r="N5"/>
  <c r="M5"/>
  <c r="M7"/>
  <c r="L5"/>
  <c r="L7"/>
  <c r="K5"/>
  <c r="K7"/>
  <c r="J5"/>
  <c r="I5"/>
  <c r="I7"/>
  <c r="H5"/>
  <c r="H7"/>
  <c r="G5"/>
  <c r="G7"/>
  <c r="F5"/>
  <c r="E5"/>
  <c r="E7"/>
  <c r="D5"/>
  <c r="D7"/>
  <c r="C5"/>
  <c r="C7"/>
  <c r="B3"/>
  <c r="AB14"/>
  <c r="Z14"/>
  <c r="Z13"/>
  <c r="B11"/>
  <c r="B8"/>
  <c r="B9"/>
  <c r="B12"/>
  <c r="B15"/>
  <c r="F24"/>
  <c r="L24"/>
  <c r="N24"/>
  <c r="P24"/>
  <c r="R24"/>
  <c r="T24"/>
  <c r="V24"/>
  <c r="X24"/>
  <c r="Z24"/>
  <c r="AB24"/>
  <c r="B23"/>
  <c r="B9" i="20"/>
  <c r="B14" i="15"/>
  <c r="B25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B8" i="17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AA24" i="15"/>
  <c r="H25" i="20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B5"/>
  <c r="B7"/>
  <c r="B15"/>
  <c r="B16"/>
  <c r="C14" i="5"/>
  <c r="C25"/>
  <c r="D10"/>
  <c r="B24"/>
  <c r="B5"/>
  <c r="AA13"/>
  <c r="B13"/>
  <c r="B14"/>
  <c r="B25"/>
  <c r="D14"/>
  <c r="F14"/>
  <c r="H14"/>
  <c r="J14"/>
  <c r="L14"/>
  <c r="N14"/>
  <c r="P14"/>
  <c r="R14"/>
  <c r="T14"/>
  <c r="V14"/>
  <c r="X14"/>
  <c r="AA14"/>
  <c r="AA25" i="15"/>
  <c r="AB10"/>
  <c r="AB25"/>
  <c r="AE10"/>
  <c r="AE25"/>
  <c r="AF10"/>
  <c r="AF25"/>
  <c r="AG10"/>
  <c r="AG25"/>
  <c r="B24" i="20"/>
  <c r="D25" i="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B23" i="6"/>
  <c r="AB16"/>
  <c r="AB24"/>
  <c r="AB15"/>
  <c r="AB13"/>
  <c r="AB14"/>
  <c r="AB9"/>
  <c r="AB8"/>
  <c r="AB5"/>
  <c r="AB7"/>
  <c r="AB16" i="19"/>
  <c r="AB15"/>
  <c r="AB24"/>
  <c r="AB12"/>
  <c r="AB11"/>
  <c r="AB9"/>
  <c r="AB5"/>
  <c r="AB7"/>
  <c r="AB24" i="22"/>
  <c r="AB14"/>
  <c r="AB9"/>
  <c r="AB8"/>
  <c r="AB7"/>
  <c r="AB5"/>
  <c r="AB23" i="9"/>
  <c r="AB16"/>
  <c r="AB15"/>
  <c r="AB13"/>
  <c r="AB12"/>
  <c r="AB14"/>
  <c r="AB9"/>
  <c r="AB8"/>
  <c r="AB7"/>
  <c r="AB5"/>
  <c r="AB24"/>
  <c r="AB13" i="19"/>
  <c r="AB14"/>
  <c r="AB8"/>
  <c r="AB16" i="4"/>
  <c r="AB15"/>
  <c r="AB24"/>
  <c r="AB12"/>
  <c r="AB9"/>
  <c r="AB5"/>
  <c r="AB7"/>
  <c r="AB13"/>
  <c r="AB14"/>
  <c r="AB23" i="3"/>
  <c r="AB16"/>
  <c r="AB24"/>
  <c r="AB15"/>
  <c r="AB12"/>
  <c r="AB13"/>
  <c r="AB9"/>
  <c r="AB8"/>
  <c r="AB7"/>
  <c r="AB5"/>
  <c r="AB14"/>
  <c r="AB24" i="7"/>
  <c r="AB16"/>
  <c r="AB12"/>
  <c r="AB13"/>
  <c r="AB14"/>
  <c r="AB9"/>
  <c r="AB8"/>
  <c r="AB5"/>
  <c r="AB7"/>
  <c r="AB16" i="8"/>
  <c r="AB15"/>
  <c r="AB24"/>
  <c r="AB12"/>
  <c r="AB13"/>
  <c r="AB9"/>
  <c r="AB8"/>
  <c r="AB5"/>
  <c r="AB7"/>
  <c r="AB14"/>
  <c r="AB23" i="1"/>
  <c r="AB16"/>
  <c r="AB15"/>
  <c r="AB24"/>
  <c r="AB13"/>
  <c r="AB12"/>
  <c r="AB11"/>
  <c r="AB9"/>
  <c r="AB8"/>
  <c r="AB5"/>
  <c r="AB7"/>
  <c r="AB14"/>
  <c r="AB25"/>
  <c r="AG24" i="18"/>
  <c r="AF24"/>
  <c r="AE24"/>
  <c r="AB24"/>
  <c r="AA24"/>
  <c r="Z24"/>
  <c r="Y24"/>
  <c r="X24"/>
  <c r="W24"/>
  <c r="U24"/>
  <c r="T24"/>
  <c r="S24"/>
  <c r="R24"/>
  <c r="Q24"/>
  <c r="P24"/>
  <c r="L24"/>
  <c r="G24"/>
  <c r="E24"/>
  <c r="D24"/>
  <c r="C24"/>
  <c r="B23"/>
  <c r="B22"/>
  <c r="B21"/>
  <c r="B20"/>
  <c r="B19"/>
  <c r="B18"/>
  <c r="B17"/>
  <c r="B16"/>
  <c r="V15"/>
  <c r="V24"/>
  <c r="O15"/>
  <c r="O24"/>
  <c r="N15"/>
  <c r="N24"/>
  <c r="M15"/>
  <c r="M24"/>
  <c r="K15"/>
  <c r="K24"/>
  <c r="J15"/>
  <c r="J24"/>
  <c r="I15"/>
  <c r="I24"/>
  <c r="H15"/>
  <c r="H24"/>
  <c r="F15"/>
  <c r="F24"/>
  <c r="B15"/>
  <c r="B24"/>
  <c r="AG14"/>
  <c r="AF14"/>
  <c r="AE14"/>
  <c r="AA14"/>
  <c r="Z14"/>
  <c r="X14"/>
  <c r="U14"/>
  <c r="T14"/>
  <c r="S14"/>
  <c r="R14"/>
  <c r="N14"/>
  <c r="K14"/>
  <c r="G14"/>
  <c r="AB13"/>
  <c r="AB14"/>
  <c r="Y13"/>
  <c r="Y14"/>
  <c r="W13"/>
  <c r="W14"/>
  <c r="V13"/>
  <c r="V14"/>
  <c r="Q13"/>
  <c r="Q14"/>
  <c r="P13"/>
  <c r="P14"/>
  <c r="O13"/>
  <c r="O14"/>
  <c r="M13"/>
  <c r="M14"/>
  <c r="L13"/>
  <c r="L14"/>
  <c r="J13"/>
  <c r="J14"/>
  <c r="I13"/>
  <c r="I14"/>
  <c r="H13"/>
  <c r="H14"/>
  <c r="F13"/>
  <c r="F14"/>
  <c r="E13"/>
  <c r="E14"/>
  <c r="D13"/>
  <c r="D14"/>
  <c r="C13"/>
  <c r="C14"/>
  <c r="C25"/>
  <c r="D10"/>
  <c r="B12"/>
  <c r="B11"/>
  <c r="AG9"/>
  <c r="AF9"/>
  <c r="AE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B5"/>
  <c r="AB7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AG24" i="22"/>
  <c r="AF24"/>
  <c r="AE24"/>
  <c r="AA24"/>
  <c r="Z24"/>
  <c r="Y24"/>
  <c r="X24"/>
  <c r="W24"/>
  <c r="V24"/>
  <c r="U24"/>
  <c r="T24"/>
  <c r="S24"/>
  <c r="R24"/>
  <c r="Q24"/>
  <c r="P24"/>
  <c r="O24"/>
  <c r="N24"/>
  <c r="M24"/>
  <c r="K24"/>
  <c r="J24"/>
  <c r="I24"/>
  <c r="H24"/>
  <c r="G24"/>
  <c r="F24"/>
  <c r="E24"/>
  <c r="C24"/>
  <c r="B23"/>
  <c r="B22"/>
  <c r="B21"/>
  <c r="B20"/>
  <c r="B19"/>
  <c r="B18"/>
  <c r="B17"/>
  <c r="L16"/>
  <c r="L24"/>
  <c r="B16"/>
  <c r="D15"/>
  <c r="D24"/>
  <c r="B15"/>
  <c r="B24"/>
  <c r="B25"/>
  <c r="AG14"/>
  <c r="AF14"/>
  <c r="AE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B13"/>
  <c r="B12"/>
  <c r="B11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B8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/>
  <c r="AG24" i="7"/>
  <c r="AF24"/>
  <c r="AE24"/>
  <c r="R24"/>
  <c r="Y23"/>
  <c r="X23"/>
  <c r="V23"/>
  <c r="P23"/>
  <c r="L23"/>
  <c r="J23"/>
  <c r="I23"/>
  <c r="H23"/>
  <c r="G23"/>
  <c r="F23"/>
  <c r="E23"/>
  <c r="D23"/>
  <c r="C23"/>
  <c r="B22"/>
  <c r="B21"/>
  <c r="B20"/>
  <c r="B19"/>
  <c r="B18"/>
  <c r="B17"/>
  <c r="AA16"/>
  <c r="Z16"/>
  <c r="Y16"/>
  <c r="X16"/>
  <c r="W16"/>
  <c r="U16"/>
  <c r="U24"/>
  <c r="T16"/>
  <c r="S16"/>
  <c r="Q16"/>
  <c r="P16"/>
  <c r="O16"/>
  <c r="O24"/>
  <c r="N16"/>
  <c r="M16"/>
  <c r="L16"/>
  <c r="K16"/>
  <c r="J16"/>
  <c r="I16"/>
  <c r="H16"/>
  <c r="G16"/>
  <c r="F16"/>
  <c r="E16"/>
  <c r="D16"/>
  <c r="C16"/>
  <c r="B16"/>
  <c r="AA15"/>
  <c r="Z15"/>
  <c r="Z24"/>
  <c r="Y15"/>
  <c r="W15"/>
  <c r="V15"/>
  <c r="V24"/>
  <c r="T15"/>
  <c r="T24"/>
  <c r="S15"/>
  <c r="S24"/>
  <c r="Q15"/>
  <c r="P15"/>
  <c r="N15"/>
  <c r="N24"/>
  <c r="M15"/>
  <c r="L15"/>
  <c r="L24"/>
  <c r="K15"/>
  <c r="J15"/>
  <c r="J24"/>
  <c r="I15"/>
  <c r="H15"/>
  <c r="H24"/>
  <c r="G15"/>
  <c r="F15"/>
  <c r="F24"/>
  <c r="E15"/>
  <c r="D15"/>
  <c r="D24"/>
  <c r="C15"/>
  <c r="AG14"/>
  <c r="AF14"/>
  <c r="AE14"/>
  <c r="U13"/>
  <c r="U14"/>
  <c r="AA12"/>
  <c r="Z12"/>
  <c r="Y12"/>
  <c r="X12"/>
  <c r="W12"/>
  <c r="V12"/>
  <c r="T12"/>
  <c r="S12"/>
  <c r="S13"/>
  <c r="S14"/>
  <c r="R12"/>
  <c r="Q12"/>
  <c r="Q13"/>
  <c r="Q14"/>
  <c r="P12"/>
  <c r="O12"/>
  <c r="O13"/>
  <c r="O14"/>
  <c r="N12"/>
  <c r="M12"/>
  <c r="M13"/>
  <c r="M14"/>
  <c r="L12"/>
  <c r="K12"/>
  <c r="K13"/>
  <c r="K14"/>
  <c r="J12"/>
  <c r="I12"/>
  <c r="I13"/>
  <c r="I14"/>
  <c r="H12"/>
  <c r="G12"/>
  <c r="G13"/>
  <c r="G14"/>
  <c r="F12"/>
  <c r="E12"/>
  <c r="E13"/>
  <c r="E14"/>
  <c r="D12"/>
  <c r="C12"/>
  <c r="C13"/>
  <c r="M11"/>
  <c r="B11"/>
  <c r="AG9"/>
  <c r="AF9"/>
  <c r="AE9"/>
  <c r="AA9"/>
  <c r="Z9"/>
  <c r="Y9"/>
  <c r="X9"/>
  <c r="W9"/>
  <c r="V9"/>
  <c r="U9"/>
  <c r="T9"/>
  <c r="S9"/>
  <c r="R9"/>
  <c r="Q9"/>
  <c r="P9"/>
  <c r="O9"/>
  <c r="N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 i="18"/>
  <c r="B8"/>
  <c r="B9" i="7"/>
  <c r="B8"/>
  <c r="M9"/>
  <c r="B12"/>
  <c r="B15"/>
  <c r="E24"/>
  <c r="G24"/>
  <c r="I24"/>
  <c r="K24"/>
  <c r="M24"/>
  <c r="P24"/>
  <c r="Y24"/>
  <c r="AA24"/>
  <c r="X24"/>
  <c r="B23"/>
  <c r="D25" i="18"/>
  <c r="E10"/>
  <c r="E25"/>
  <c r="F10"/>
  <c r="F25"/>
  <c r="G10"/>
  <c r="G25"/>
  <c r="H10"/>
  <c r="AE10" i="22"/>
  <c r="AE25"/>
  <c r="AF10"/>
  <c r="AF25"/>
  <c r="AG10"/>
  <c r="AG25"/>
  <c r="AB10"/>
  <c r="AB25"/>
  <c r="Q24" i="7"/>
  <c r="W24"/>
  <c r="B14" i="22"/>
  <c r="B5" i="7"/>
  <c r="B7"/>
  <c r="H25" i="18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B5"/>
  <c r="B7"/>
  <c r="B13"/>
  <c r="B14"/>
  <c r="B5" i="22"/>
  <c r="B7"/>
  <c r="J14" i="7"/>
  <c r="R14"/>
  <c r="AA14"/>
  <c r="B24"/>
  <c r="F14"/>
  <c r="W13"/>
  <c r="W14"/>
  <c r="Y13"/>
  <c r="Y14"/>
  <c r="AA13"/>
  <c r="C14"/>
  <c r="C25"/>
  <c r="D10"/>
  <c r="C24"/>
  <c r="D13"/>
  <c r="D14"/>
  <c r="F13"/>
  <c r="H13"/>
  <c r="H14"/>
  <c r="J13"/>
  <c r="L13"/>
  <c r="L14"/>
  <c r="N13"/>
  <c r="N14"/>
  <c r="P13"/>
  <c r="P14"/>
  <c r="R13"/>
  <c r="T13"/>
  <c r="T14"/>
  <c r="V13"/>
  <c r="V14"/>
  <c r="X13"/>
  <c r="X14"/>
  <c r="Z13"/>
  <c r="Z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B13"/>
  <c r="B14"/>
  <c r="B25"/>
  <c r="AE25"/>
  <c r="AG24" i="4"/>
  <c r="AF24"/>
  <c r="AE24"/>
  <c r="N24"/>
  <c r="B23"/>
  <c r="B22"/>
  <c r="B21"/>
  <c r="B20"/>
  <c r="B19"/>
  <c r="B18"/>
  <c r="B17"/>
  <c r="AA16"/>
  <c r="Y16"/>
  <c r="X16"/>
  <c r="W16"/>
  <c r="V16"/>
  <c r="U16"/>
  <c r="T16"/>
  <c r="S16"/>
  <c r="R16"/>
  <c r="Q16"/>
  <c r="P16"/>
  <c r="O16"/>
  <c r="M16"/>
  <c r="L16"/>
  <c r="K16"/>
  <c r="J16"/>
  <c r="I16"/>
  <c r="H16"/>
  <c r="G16"/>
  <c r="F16"/>
  <c r="E16"/>
  <c r="D16"/>
  <c r="C16"/>
  <c r="AA15"/>
  <c r="AA24"/>
  <c r="Z15"/>
  <c r="Z24"/>
  <c r="Y15"/>
  <c r="Y24"/>
  <c r="X15"/>
  <c r="W15"/>
  <c r="W24"/>
  <c r="V15"/>
  <c r="U15"/>
  <c r="U24"/>
  <c r="T15"/>
  <c r="S15"/>
  <c r="S24"/>
  <c r="R15"/>
  <c r="Q15"/>
  <c r="Q24"/>
  <c r="P15"/>
  <c r="O15"/>
  <c r="O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B24"/>
  <c r="AG14"/>
  <c r="AF14"/>
  <c r="AE14"/>
  <c r="N14"/>
  <c r="U13"/>
  <c r="Q13"/>
  <c r="AA12"/>
  <c r="Z12"/>
  <c r="Y12"/>
  <c r="Y14"/>
  <c r="X12"/>
  <c r="W12"/>
  <c r="V12"/>
  <c r="U12"/>
  <c r="T12"/>
  <c r="S12"/>
  <c r="R12"/>
  <c r="Q12"/>
  <c r="P12"/>
  <c r="O12"/>
  <c r="M12"/>
  <c r="L12"/>
  <c r="L13"/>
  <c r="L14"/>
  <c r="K12"/>
  <c r="J12"/>
  <c r="J13"/>
  <c r="J14"/>
  <c r="I12"/>
  <c r="H12"/>
  <c r="H13"/>
  <c r="H14"/>
  <c r="G12"/>
  <c r="F12"/>
  <c r="F13"/>
  <c r="F14"/>
  <c r="E12"/>
  <c r="D12"/>
  <c r="D13"/>
  <c r="D14"/>
  <c r="C12"/>
  <c r="B11"/>
  <c r="B9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C8"/>
  <c r="AG7"/>
  <c r="AF7"/>
  <c r="AE7"/>
  <c r="B6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Q14"/>
  <c r="U14"/>
  <c r="O13"/>
  <c r="O14"/>
  <c r="S13"/>
  <c r="S14"/>
  <c r="W13"/>
  <c r="W14"/>
  <c r="B16"/>
  <c r="P24"/>
  <c r="R24"/>
  <c r="T24"/>
  <c r="V24"/>
  <c r="X24"/>
  <c r="B12"/>
  <c r="C13"/>
  <c r="E13"/>
  <c r="E14"/>
  <c r="G13"/>
  <c r="G14"/>
  <c r="I13"/>
  <c r="I14"/>
  <c r="K13"/>
  <c r="K14"/>
  <c r="M13"/>
  <c r="M14"/>
  <c r="P13"/>
  <c r="P14"/>
  <c r="R13"/>
  <c r="R14"/>
  <c r="T13"/>
  <c r="T14"/>
  <c r="V13"/>
  <c r="V14"/>
  <c r="X13"/>
  <c r="X14"/>
  <c r="AA13"/>
  <c r="AA14"/>
  <c r="Z13"/>
  <c r="Z14"/>
  <c r="B13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E10"/>
  <c r="AE25"/>
  <c r="AF10"/>
  <c r="AF25"/>
  <c r="AG10"/>
  <c r="AG25"/>
  <c r="AA23" i="1"/>
  <c r="AA16"/>
  <c r="AA15"/>
  <c r="AA24"/>
  <c r="AA12"/>
  <c r="AA9"/>
  <c r="AA8"/>
  <c r="AA5"/>
  <c r="AA7"/>
  <c r="AA13"/>
  <c r="AA14"/>
  <c r="AA23" i="8"/>
  <c r="AA16"/>
  <c r="AA24"/>
  <c r="AA15"/>
  <c r="AA12"/>
  <c r="AA13"/>
  <c r="AA9"/>
  <c r="AA8"/>
  <c r="AA7"/>
  <c r="AA5"/>
  <c r="AA14"/>
  <c r="AA23" i="9"/>
  <c r="Z23"/>
  <c r="Y23"/>
  <c r="X23"/>
  <c r="AA16"/>
  <c r="Z16"/>
  <c r="Y16"/>
  <c r="X16"/>
  <c r="AA15"/>
  <c r="AA24"/>
  <c r="Z15"/>
  <c r="Z24"/>
  <c r="Y15"/>
  <c r="Y24"/>
  <c r="X15"/>
  <c r="X24"/>
  <c r="AA13"/>
  <c r="AA12"/>
  <c r="AA14"/>
  <c r="Z12"/>
  <c r="Z13"/>
  <c r="Y12"/>
  <c r="X12"/>
  <c r="AA9"/>
  <c r="Z9"/>
  <c r="Y9"/>
  <c r="AA8"/>
  <c r="Z8"/>
  <c r="Y8"/>
  <c r="X8"/>
  <c r="AA5"/>
  <c r="AA7"/>
  <c r="Z5"/>
  <c r="Z7"/>
  <c r="Y5"/>
  <c r="Y7"/>
  <c r="X13"/>
  <c r="X14"/>
  <c r="Z14"/>
  <c r="Y13"/>
  <c r="Y14"/>
  <c r="AA16" i="3"/>
  <c r="AA15"/>
  <c r="AA24"/>
  <c r="AA12"/>
  <c r="AA13"/>
  <c r="AA9"/>
  <c r="AA8"/>
  <c r="AA5"/>
  <c r="AA7"/>
  <c r="AA14"/>
  <c r="Z23" i="6"/>
  <c r="Y23"/>
  <c r="Y16"/>
  <c r="AA15"/>
  <c r="AA24"/>
  <c r="Z15"/>
  <c r="Z24"/>
  <c r="Y15"/>
  <c r="AA13"/>
  <c r="AA14"/>
  <c r="Z13"/>
  <c r="Z14"/>
  <c r="Y13"/>
  <c r="Y14"/>
  <c r="AA9"/>
  <c r="Z9"/>
  <c r="Y9"/>
  <c r="AA8"/>
  <c r="Z8"/>
  <c r="Y8"/>
  <c r="AA5"/>
  <c r="AA7"/>
  <c r="Z5"/>
  <c r="Z7"/>
  <c r="Y5"/>
  <c r="Y7"/>
  <c r="AG24" i="19"/>
  <c r="AF24"/>
  <c r="AE24"/>
  <c r="Z23"/>
  <c r="Y23"/>
  <c r="V23"/>
  <c r="T23"/>
  <c r="S23"/>
  <c r="R23"/>
  <c r="P23"/>
  <c r="O23"/>
  <c r="N23"/>
  <c r="M23"/>
  <c r="L23"/>
  <c r="K23"/>
  <c r="J23"/>
  <c r="I23"/>
  <c r="H23"/>
  <c r="G23"/>
  <c r="F23"/>
  <c r="D23"/>
  <c r="B23"/>
  <c r="B22"/>
  <c r="B21"/>
  <c r="B20"/>
  <c r="B19"/>
  <c r="B18"/>
  <c r="B17"/>
  <c r="AA16"/>
  <c r="Z16"/>
  <c r="Y16"/>
  <c r="X16"/>
  <c r="W16"/>
  <c r="V16"/>
  <c r="U16"/>
  <c r="T16"/>
  <c r="R16"/>
  <c r="Q16"/>
  <c r="P16"/>
  <c r="O16"/>
  <c r="N16"/>
  <c r="M16"/>
  <c r="L16"/>
  <c r="K16"/>
  <c r="J16"/>
  <c r="I16"/>
  <c r="H16"/>
  <c r="G16"/>
  <c r="F16"/>
  <c r="E16"/>
  <c r="D16"/>
  <c r="C16"/>
  <c r="B16"/>
  <c r="AA15"/>
  <c r="AA24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AG14"/>
  <c r="AF14"/>
  <c r="AE14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1"/>
  <c r="AG9"/>
  <c r="AF9"/>
  <c r="AE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B6"/>
  <c r="AG5"/>
  <c r="AF5"/>
  <c r="AE5"/>
  <c r="AA5"/>
  <c r="AA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W23" i="9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2"/>
  <c r="B21"/>
  <c r="B20"/>
  <c r="B19"/>
  <c r="B18"/>
  <c r="B17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W15"/>
  <c r="V15"/>
  <c r="V24"/>
  <c r="U15"/>
  <c r="T15"/>
  <c r="T24"/>
  <c r="S15"/>
  <c r="R15"/>
  <c r="R24"/>
  <c r="Q15"/>
  <c r="P15"/>
  <c r="P24"/>
  <c r="O15"/>
  <c r="N15"/>
  <c r="N24"/>
  <c r="M15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W12"/>
  <c r="W13"/>
  <c r="V12"/>
  <c r="U12"/>
  <c r="U13"/>
  <c r="T12"/>
  <c r="S12"/>
  <c r="S13"/>
  <c r="R12"/>
  <c r="Q12"/>
  <c r="Q13"/>
  <c r="P12"/>
  <c r="O12"/>
  <c r="O13"/>
  <c r="N12"/>
  <c r="M12"/>
  <c r="M13"/>
  <c r="L12"/>
  <c r="K12"/>
  <c r="K13"/>
  <c r="J12"/>
  <c r="I12"/>
  <c r="I13"/>
  <c r="H12"/>
  <c r="G12"/>
  <c r="G13"/>
  <c r="F12"/>
  <c r="E12"/>
  <c r="E13"/>
  <c r="D12"/>
  <c r="C12"/>
  <c r="C13"/>
  <c r="B11"/>
  <c r="C10"/>
  <c r="C9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C5"/>
  <c r="C7"/>
  <c r="B4"/>
  <c r="D3"/>
  <c r="D9"/>
  <c r="B8" i="19"/>
  <c r="J14" i="9"/>
  <c r="R14"/>
  <c r="D13"/>
  <c r="D14"/>
  <c r="H13"/>
  <c r="H14"/>
  <c r="L13"/>
  <c r="L14"/>
  <c r="P13"/>
  <c r="P14"/>
  <c r="T13"/>
  <c r="T14"/>
  <c r="Y24" i="6"/>
  <c r="F13" i="9"/>
  <c r="F14"/>
  <c r="J13"/>
  <c r="N13"/>
  <c r="N14"/>
  <c r="R13"/>
  <c r="V13"/>
  <c r="V14"/>
  <c r="M24"/>
  <c r="O24"/>
  <c r="Q24"/>
  <c r="S24"/>
  <c r="U24"/>
  <c r="W24"/>
  <c r="B23"/>
  <c r="B24"/>
  <c r="B12" i="19"/>
  <c r="B15"/>
  <c r="B24"/>
  <c r="B9"/>
  <c r="H14"/>
  <c r="C13"/>
  <c r="E13"/>
  <c r="E14"/>
  <c r="G13"/>
  <c r="G14"/>
  <c r="I13"/>
  <c r="I14"/>
  <c r="K13"/>
  <c r="K14"/>
  <c r="M13"/>
  <c r="M14"/>
  <c r="O13"/>
  <c r="O14"/>
  <c r="Q13"/>
  <c r="Q14"/>
  <c r="S13"/>
  <c r="S14"/>
  <c r="U13"/>
  <c r="U14"/>
  <c r="W13"/>
  <c r="W14"/>
  <c r="Y13"/>
  <c r="Y14"/>
  <c r="AA13"/>
  <c r="AA14"/>
  <c r="C24"/>
  <c r="D13"/>
  <c r="D14"/>
  <c r="F13"/>
  <c r="F14"/>
  <c r="H13"/>
  <c r="J13"/>
  <c r="J14"/>
  <c r="L13"/>
  <c r="L14"/>
  <c r="N13"/>
  <c r="N14"/>
  <c r="P13"/>
  <c r="P14"/>
  <c r="R13"/>
  <c r="R14"/>
  <c r="T13"/>
  <c r="T14"/>
  <c r="V13"/>
  <c r="V14"/>
  <c r="X13"/>
  <c r="X14"/>
  <c r="Z13"/>
  <c r="Z14"/>
  <c r="D5" i="9"/>
  <c r="D7"/>
  <c r="C14"/>
  <c r="C25"/>
  <c r="D10"/>
  <c r="E14"/>
  <c r="G14"/>
  <c r="I14"/>
  <c r="K14"/>
  <c r="M14"/>
  <c r="O14"/>
  <c r="Q14"/>
  <c r="S14"/>
  <c r="U14"/>
  <c r="W14"/>
  <c r="E3"/>
  <c r="B12"/>
  <c r="B13"/>
  <c r="B14"/>
  <c r="B25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C10"/>
  <c r="AC25"/>
  <c r="B13" i="19"/>
  <c r="B14"/>
  <c r="B25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E5" i="9"/>
  <c r="E7"/>
  <c r="E9"/>
  <c r="F3"/>
  <c r="AB10" i="19"/>
  <c r="AB25"/>
  <c r="F9" i="9"/>
  <c r="G3"/>
  <c r="F5"/>
  <c r="F7"/>
  <c r="G5"/>
  <c r="G7"/>
  <c r="G9"/>
  <c r="H3"/>
  <c r="H9"/>
  <c r="I3"/>
  <c r="H5"/>
  <c r="H7"/>
  <c r="I5"/>
  <c r="I7"/>
  <c r="I9"/>
  <c r="J3"/>
  <c r="Z23" i="8"/>
  <c r="X23"/>
  <c r="W23"/>
  <c r="U23"/>
  <c r="T23"/>
  <c r="S23"/>
  <c r="Q23"/>
  <c r="P23"/>
  <c r="M23"/>
  <c r="L23"/>
  <c r="K23"/>
  <c r="J23"/>
  <c r="I23"/>
  <c r="C23"/>
  <c r="B22"/>
  <c r="B21"/>
  <c r="B20"/>
  <c r="B19"/>
  <c r="B18"/>
  <c r="B17"/>
  <c r="Z16"/>
  <c r="Y16"/>
  <c r="X16"/>
  <c r="W16"/>
  <c r="V16"/>
  <c r="U16"/>
  <c r="S16"/>
  <c r="R16"/>
  <c r="Q16"/>
  <c r="P16"/>
  <c r="N16"/>
  <c r="M16"/>
  <c r="L16"/>
  <c r="K16"/>
  <c r="I16"/>
  <c r="H16"/>
  <c r="C16"/>
  <c r="B16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B15"/>
  <c r="P13"/>
  <c r="P14"/>
  <c r="G13"/>
  <c r="G14"/>
  <c r="E13"/>
  <c r="E14"/>
  <c r="D13"/>
  <c r="D14"/>
  <c r="Z12"/>
  <c r="Y12"/>
  <c r="X12"/>
  <c r="X13"/>
  <c r="W12"/>
  <c r="V12"/>
  <c r="U12"/>
  <c r="T12"/>
  <c r="T13"/>
  <c r="S12"/>
  <c r="R12"/>
  <c r="Q12"/>
  <c r="O12"/>
  <c r="O13"/>
  <c r="O14"/>
  <c r="N12"/>
  <c r="N13"/>
  <c r="M12"/>
  <c r="M13"/>
  <c r="M14"/>
  <c r="L12"/>
  <c r="L13"/>
  <c r="K12"/>
  <c r="K13"/>
  <c r="K14"/>
  <c r="J12"/>
  <c r="J13"/>
  <c r="I12"/>
  <c r="I13"/>
  <c r="I14"/>
  <c r="H12"/>
  <c r="H13"/>
  <c r="F12"/>
  <c r="F13"/>
  <c r="C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9"/>
  <c r="B23"/>
  <c r="B24"/>
  <c r="F14"/>
  <c r="T14"/>
  <c r="X14"/>
  <c r="R13"/>
  <c r="R14"/>
  <c r="V13"/>
  <c r="V14"/>
  <c r="Z13"/>
  <c r="Z14"/>
  <c r="J9" i="9"/>
  <c r="K3"/>
  <c r="J5"/>
  <c r="J7"/>
  <c r="U14" i="8"/>
  <c r="B5"/>
  <c r="B7"/>
  <c r="B12"/>
  <c r="C13"/>
  <c r="Q13"/>
  <c r="Q14"/>
  <c r="S13"/>
  <c r="S14"/>
  <c r="U13"/>
  <c r="W13"/>
  <c r="W14"/>
  <c r="Y13"/>
  <c r="Y14"/>
  <c r="H14"/>
  <c r="J14"/>
  <c r="L14"/>
  <c r="N14"/>
  <c r="K5" i="9"/>
  <c r="K7"/>
  <c r="K9"/>
  <c r="L3"/>
  <c r="B13" i="8"/>
  <c r="B14"/>
  <c r="B25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L9" i="9"/>
  <c r="M3"/>
  <c r="L5"/>
  <c r="L7"/>
  <c r="Z23" i="3"/>
  <c r="Y23"/>
  <c r="X23"/>
  <c r="T23"/>
  <c r="S23"/>
  <c r="Q23"/>
  <c r="P23"/>
  <c r="O23"/>
  <c r="N23"/>
  <c r="M23"/>
  <c r="L23"/>
  <c r="K23"/>
  <c r="J23"/>
  <c r="I23"/>
  <c r="H23"/>
  <c r="G23"/>
  <c r="F23"/>
  <c r="E23"/>
  <c r="D23"/>
  <c r="C23"/>
  <c r="B23"/>
  <c r="B22"/>
  <c r="B21"/>
  <c r="B20"/>
  <c r="B19"/>
  <c r="B18"/>
  <c r="B17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Z12"/>
  <c r="Y12"/>
  <c r="Y13"/>
  <c r="X12"/>
  <c r="W12"/>
  <c r="V12"/>
  <c r="U12"/>
  <c r="U13"/>
  <c r="T12"/>
  <c r="S12"/>
  <c r="R12"/>
  <c r="Q12"/>
  <c r="Q13"/>
  <c r="P12"/>
  <c r="O12"/>
  <c r="N12"/>
  <c r="M12"/>
  <c r="M13"/>
  <c r="L12"/>
  <c r="K12"/>
  <c r="J12"/>
  <c r="I12"/>
  <c r="I13"/>
  <c r="H12"/>
  <c r="G12"/>
  <c r="F12"/>
  <c r="E12"/>
  <c r="E13"/>
  <c r="D12"/>
  <c r="C12"/>
  <c r="B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B7"/>
  <c r="E14"/>
  <c r="I14"/>
  <c r="M14"/>
  <c r="Q14"/>
  <c r="U14"/>
  <c r="Y14"/>
  <c r="C13"/>
  <c r="C14"/>
  <c r="C25"/>
  <c r="D10"/>
  <c r="G13"/>
  <c r="G14"/>
  <c r="K13"/>
  <c r="K14"/>
  <c r="O13"/>
  <c r="O14"/>
  <c r="S13"/>
  <c r="S14"/>
  <c r="W13"/>
  <c r="W14"/>
  <c r="M5" i="9"/>
  <c r="M7"/>
  <c r="M9"/>
  <c r="N3"/>
  <c r="B9" i="3"/>
  <c r="D13"/>
  <c r="F13"/>
  <c r="F14"/>
  <c r="H13"/>
  <c r="H14"/>
  <c r="J13"/>
  <c r="J14"/>
  <c r="L13"/>
  <c r="L14"/>
  <c r="N13"/>
  <c r="N14"/>
  <c r="P13"/>
  <c r="P14"/>
  <c r="R13"/>
  <c r="R14"/>
  <c r="T13"/>
  <c r="T14"/>
  <c r="V13"/>
  <c r="V14"/>
  <c r="X13"/>
  <c r="X14"/>
  <c r="Z13"/>
  <c r="Z14"/>
  <c r="B15"/>
  <c r="B24"/>
  <c r="B13"/>
  <c r="B14"/>
  <c r="B25"/>
  <c r="D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N9" i="9"/>
  <c r="O3"/>
  <c r="N5"/>
  <c r="N7"/>
  <c r="O5"/>
  <c r="O7"/>
  <c r="O9"/>
  <c r="P3"/>
  <c r="Y23" i="1"/>
  <c r="Z16"/>
  <c r="Y16"/>
  <c r="Z15"/>
  <c r="Z24"/>
  <c r="Y15"/>
  <c r="Y24"/>
  <c r="Z13"/>
  <c r="Z14"/>
  <c r="Y13"/>
  <c r="Y14"/>
  <c r="Y12"/>
  <c r="Y10"/>
  <c r="Y25"/>
  <c r="Z9"/>
  <c r="Y9"/>
  <c r="Z8"/>
  <c r="Y8"/>
  <c r="Z5"/>
  <c r="Z7"/>
  <c r="Y5"/>
  <c r="Y7"/>
  <c r="Z25"/>
  <c r="AA10"/>
  <c r="AA25"/>
  <c r="P9" i="9"/>
  <c r="Q3"/>
  <c r="P5"/>
  <c r="P7"/>
  <c r="X23" i="1"/>
  <c r="X16"/>
  <c r="X24"/>
  <c r="X15"/>
  <c r="X12"/>
  <c r="X9"/>
  <c r="X8"/>
  <c r="X7"/>
  <c r="X5"/>
  <c r="B22" i="6"/>
  <c r="B21"/>
  <c r="B20"/>
  <c r="B19"/>
  <c r="B18"/>
  <c r="B17"/>
  <c r="B12"/>
  <c r="B14"/>
  <c r="B25"/>
  <c r="B11"/>
  <c r="B6"/>
  <c r="B8"/>
  <c r="B4"/>
  <c r="X23"/>
  <c r="W23"/>
  <c r="V23"/>
  <c r="T23"/>
  <c r="Q23"/>
  <c r="P23"/>
  <c r="O23"/>
  <c r="N23"/>
  <c r="M23"/>
  <c r="L23"/>
  <c r="J23"/>
  <c r="I23"/>
  <c r="H23"/>
  <c r="G23"/>
  <c r="F23"/>
  <c r="E23"/>
  <c r="C23"/>
  <c r="B23"/>
  <c r="W16"/>
  <c r="V16"/>
  <c r="U16"/>
  <c r="Q16"/>
  <c r="P16"/>
  <c r="O16"/>
  <c r="K16"/>
  <c r="J16"/>
  <c r="I16"/>
  <c r="E16"/>
  <c r="C16"/>
  <c r="B16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X13"/>
  <c r="X14"/>
  <c r="W13"/>
  <c r="W14"/>
  <c r="V13"/>
  <c r="V14"/>
  <c r="U13"/>
  <c r="U14"/>
  <c r="T13"/>
  <c r="T14"/>
  <c r="S13"/>
  <c r="S14"/>
  <c r="R13"/>
  <c r="R14"/>
  <c r="Q13"/>
  <c r="Q14"/>
  <c r="P13"/>
  <c r="P14"/>
  <c r="O13"/>
  <c r="O14"/>
  <c r="N13"/>
  <c r="N14"/>
  <c r="M13"/>
  <c r="M14"/>
  <c r="L13"/>
  <c r="L14"/>
  <c r="K13"/>
  <c r="K14"/>
  <c r="J13"/>
  <c r="J14"/>
  <c r="I13"/>
  <c r="I14"/>
  <c r="H13"/>
  <c r="H14"/>
  <c r="G13"/>
  <c r="G14"/>
  <c r="F13"/>
  <c r="F14"/>
  <c r="E13"/>
  <c r="E14"/>
  <c r="D13"/>
  <c r="D14"/>
  <c r="C13"/>
  <c r="C14"/>
  <c r="C25"/>
  <c r="D10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C9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C5"/>
  <c r="C7"/>
  <c r="D3"/>
  <c r="D9"/>
  <c r="AG24" i="9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8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6"/>
  <c r="AF24"/>
  <c r="AE24"/>
  <c r="AG14"/>
  <c r="AF14"/>
  <c r="AE14"/>
  <c r="AG9"/>
  <c r="AF9"/>
  <c r="AE9"/>
  <c r="AG8"/>
  <c r="AF8"/>
  <c r="AE8"/>
  <c r="AG7"/>
  <c r="AF7"/>
  <c r="AE7"/>
  <c r="AG5"/>
  <c r="AF5"/>
  <c r="AE5"/>
  <c r="AG24" i="5"/>
  <c r="AF24"/>
  <c r="AE24"/>
  <c r="AG14"/>
  <c r="AF14"/>
  <c r="AE14"/>
  <c r="AG9"/>
  <c r="AF9"/>
  <c r="AE9"/>
  <c r="AG8"/>
  <c r="AF8"/>
  <c r="AE8"/>
  <c r="AG7"/>
  <c r="AF7"/>
  <c r="AE7"/>
  <c r="AG5"/>
  <c r="AF5"/>
  <c r="AE5"/>
  <c r="D2" i="22"/>
  <c r="E2"/>
  <c r="F2"/>
  <c r="G2"/>
  <c r="H2"/>
  <c r="I2"/>
  <c r="J2"/>
  <c r="K2"/>
  <c r="L2"/>
  <c r="M2"/>
  <c r="N2"/>
  <c r="O2"/>
  <c r="P2"/>
  <c r="Q2"/>
  <c r="R2"/>
  <c r="D2" i="21"/>
  <c r="E2"/>
  <c r="F2"/>
  <c r="G2"/>
  <c r="H2"/>
  <c r="I2"/>
  <c r="J2"/>
  <c r="K2"/>
  <c r="L2"/>
  <c r="M2"/>
  <c r="N2"/>
  <c r="O2"/>
  <c r="P2"/>
  <c r="Q2"/>
  <c r="R2"/>
  <c r="D2" i="20"/>
  <c r="E2"/>
  <c r="F2"/>
  <c r="G2"/>
  <c r="H2"/>
  <c r="I2"/>
  <c r="J2"/>
  <c r="K2"/>
  <c r="L2"/>
  <c r="M2"/>
  <c r="N2"/>
  <c r="O2"/>
  <c r="P2"/>
  <c r="Q2"/>
  <c r="R2"/>
  <c r="D2" i="19"/>
  <c r="E2"/>
  <c r="F2"/>
  <c r="G2"/>
  <c r="H2"/>
  <c r="I2"/>
  <c r="J2"/>
  <c r="K2"/>
  <c r="L2"/>
  <c r="M2"/>
  <c r="N2"/>
  <c r="O2"/>
  <c r="P2"/>
  <c r="Q2"/>
  <c r="R2"/>
  <c r="D2" i="18"/>
  <c r="E2"/>
  <c r="F2"/>
  <c r="G2"/>
  <c r="H2"/>
  <c r="I2"/>
  <c r="J2"/>
  <c r="K2"/>
  <c r="L2"/>
  <c r="M2"/>
  <c r="N2"/>
  <c r="O2"/>
  <c r="P2"/>
  <c r="Q2"/>
  <c r="R2"/>
  <c r="D2" i="17"/>
  <c r="E2"/>
  <c r="F2"/>
  <c r="G2"/>
  <c r="H2"/>
  <c r="I2"/>
  <c r="J2"/>
  <c r="K2"/>
  <c r="L2"/>
  <c r="M2"/>
  <c r="N2"/>
  <c r="O2"/>
  <c r="P2"/>
  <c r="Q2"/>
  <c r="R2"/>
  <c r="D2" i="15"/>
  <c r="E2"/>
  <c r="F2"/>
  <c r="G2"/>
  <c r="H2"/>
  <c r="I2"/>
  <c r="J2"/>
  <c r="K2"/>
  <c r="L2"/>
  <c r="M2"/>
  <c r="N2"/>
  <c r="O2"/>
  <c r="P2"/>
  <c r="Q2"/>
  <c r="R2"/>
  <c r="D2" i="11"/>
  <c r="E2"/>
  <c r="F2"/>
  <c r="G2"/>
  <c r="H2"/>
  <c r="I2"/>
  <c r="J2"/>
  <c r="K2"/>
  <c r="L2"/>
  <c r="M2"/>
  <c r="N2"/>
  <c r="O2"/>
  <c r="P2"/>
  <c r="Q2"/>
  <c r="R2"/>
  <c r="D2" i="9"/>
  <c r="E2"/>
  <c r="F2"/>
  <c r="G2"/>
  <c r="H2"/>
  <c r="I2"/>
  <c r="J2"/>
  <c r="K2"/>
  <c r="L2"/>
  <c r="M2"/>
  <c r="N2"/>
  <c r="O2"/>
  <c r="P2"/>
  <c r="Q2"/>
  <c r="R2"/>
  <c r="D2" i="8"/>
  <c r="E2"/>
  <c r="F2"/>
  <c r="G2"/>
  <c r="H2"/>
  <c r="I2"/>
  <c r="J2"/>
  <c r="K2"/>
  <c r="L2"/>
  <c r="M2"/>
  <c r="N2"/>
  <c r="O2"/>
  <c r="P2"/>
  <c r="Q2"/>
  <c r="R2"/>
  <c r="D2" i="7"/>
  <c r="E2"/>
  <c r="F2"/>
  <c r="G2"/>
  <c r="H2"/>
  <c r="I2"/>
  <c r="J2"/>
  <c r="K2"/>
  <c r="L2"/>
  <c r="M2"/>
  <c r="N2"/>
  <c r="O2"/>
  <c r="P2"/>
  <c r="Q2"/>
  <c r="R2"/>
  <c r="D2" i="6"/>
  <c r="E2"/>
  <c r="F2"/>
  <c r="G2"/>
  <c r="H2"/>
  <c r="I2"/>
  <c r="J2"/>
  <c r="K2"/>
  <c r="L2"/>
  <c r="M2"/>
  <c r="N2"/>
  <c r="O2"/>
  <c r="P2"/>
  <c r="Q2"/>
  <c r="R2"/>
  <c r="D2" i="5"/>
  <c r="E2"/>
  <c r="F2"/>
  <c r="G2"/>
  <c r="H2"/>
  <c r="I2"/>
  <c r="J2"/>
  <c r="K2"/>
  <c r="L2"/>
  <c r="M2"/>
  <c r="N2"/>
  <c r="O2"/>
  <c r="P2"/>
  <c r="Q2"/>
  <c r="R2"/>
  <c r="D2" i="4"/>
  <c r="E2"/>
  <c r="F2"/>
  <c r="G2"/>
  <c r="H2"/>
  <c r="I2"/>
  <c r="J2"/>
  <c r="K2"/>
  <c r="L2"/>
  <c r="M2"/>
  <c r="N2"/>
  <c r="O2"/>
  <c r="P2"/>
  <c r="Q2"/>
  <c r="R2"/>
  <c r="AG24" i="3"/>
  <c r="AF24"/>
  <c r="AE24"/>
  <c r="AG14"/>
  <c r="AF14"/>
  <c r="AE14"/>
  <c r="AG9"/>
  <c r="AF9"/>
  <c r="AE9"/>
  <c r="AG8"/>
  <c r="AF8"/>
  <c r="AE8"/>
  <c r="AG7"/>
  <c r="AF7"/>
  <c r="AE7"/>
  <c r="AG5"/>
  <c r="AF5"/>
  <c r="AE5"/>
  <c r="D2"/>
  <c r="E2"/>
  <c r="F2"/>
  <c r="G2"/>
  <c r="H2"/>
  <c r="I2"/>
  <c r="J2"/>
  <c r="K2"/>
  <c r="L2"/>
  <c r="M2"/>
  <c r="N2"/>
  <c r="O2"/>
  <c r="P2"/>
  <c r="Q2"/>
  <c r="R2"/>
  <c r="S2" i="5"/>
  <c r="T2"/>
  <c r="U2"/>
  <c r="V2"/>
  <c r="W2"/>
  <c r="X2"/>
  <c r="Y2"/>
  <c r="Z2"/>
  <c r="AA2"/>
  <c r="AB2"/>
  <c r="AC2"/>
  <c r="AD2"/>
  <c r="AE2"/>
  <c r="AF2"/>
  <c r="AG2"/>
  <c r="S2" i="7"/>
  <c r="T2"/>
  <c r="U2"/>
  <c r="V2"/>
  <c r="W2"/>
  <c r="X2"/>
  <c r="Y2"/>
  <c r="Z2"/>
  <c r="AA2"/>
  <c r="AB2"/>
  <c r="AC2"/>
  <c r="AD2"/>
  <c r="AE2"/>
  <c r="AF2"/>
  <c r="AG2"/>
  <c r="S2" i="9"/>
  <c r="T2"/>
  <c r="U2"/>
  <c r="V2"/>
  <c r="W2"/>
  <c r="X2"/>
  <c r="Y2"/>
  <c r="Z2"/>
  <c r="AA2"/>
  <c r="AB2"/>
  <c r="AC2"/>
  <c r="AD2"/>
  <c r="AE2"/>
  <c r="AF2"/>
  <c r="AG2"/>
  <c r="S2" i="15"/>
  <c r="T2"/>
  <c r="U2"/>
  <c r="V2"/>
  <c r="W2"/>
  <c r="X2"/>
  <c r="Y2"/>
  <c r="Z2"/>
  <c r="AA2"/>
  <c r="AB2"/>
  <c r="AC2"/>
  <c r="AD2"/>
  <c r="AE2"/>
  <c r="AF2"/>
  <c r="AG2"/>
  <c r="S2" i="18"/>
  <c r="T2"/>
  <c r="U2"/>
  <c r="V2"/>
  <c r="W2"/>
  <c r="X2"/>
  <c r="Y2"/>
  <c r="Z2"/>
  <c r="AA2"/>
  <c r="AB2"/>
  <c r="AC2"/>
  <c r="AD2"/>
  <c r="AE2"/>
  <c r="AF2"/>
  <c r="AG2"/>
  <c r="S2" i="20"/>
  <c r="T2"/>
  <c r="U2"/>
  <c r="V2"/>
  <c r="W2"/>
  <c r="X2"/>
  <c r="Y2"/>
  <c r="Z2"/>
  <c r="AA2"/>
  <c r="AB2"/>
  <c r="AC2"/>
  <c r="AD2"/>
  <c r="AE2"/>
  <c r="AF2"/>
  <c r="AG2"/>
  <c r="S2" i="22"/>
  <c r="T2"/>
  <c r="U2"/>
  <c r="V2"/>
  <c r="W2"/>
  <c r="X2"/>
  <c r="Y2"/>
  <c r="Z2"/>
  <c r="AA2"/>
  <c r="AB2"/>
  <c r="AC2"/>
  <c r="AD2"/>
  <c r="AE2"/>
  <c r="AF2"/>
  <c r="AG2"/>
  <c r="B13" i="6"/>
  <c r="S2" i="3"/>
  <c r="T2"/>
  <c r="U2"/>
  <c r="V2"/>
  <c r="W2"/>
  <c r="X2"/>
  <c r="Y2"/>
  <c r="Z2"/>
  <c r="AA2"/>
  <c r="AB2"/>
  <c r="AC2"/>
  <c r="AD2"/>
  <c r="AE2"/>
  <c r="AF2"/>
  <c r="AG2"/>
  <c r="S2" i="4"/>
  <c r="T2"/>
  <c r="U2"/>
  <c r="V2"/>
  <c r="W2"/>
  <c r="X2"/>
  <c r="Y2"/>
  <c r="Z2"/>
  <c r="AA2"/>
  <c r="AB2"/>
  <c r="AC2"/>
  <c r="AD2"/>
  <c r="AE2"/>
  <c r="AF2"/>
  <c r="AG2"/>
  <c r="S2" i="6"/>
  <c r="T2"/>
  <c r="U2"/>
  <c r="V2"/>
  <c r="W2"/>
  <c r="X2"/>
  <c r="Y2"/>
  <c r="Z2"/>
  <c r="AA2"/>
  <c r="AB2"/>
  <c r="AC2"/>
  <c r="AD2"/>
  <c r="AE2"/>
  <c r="AF2"/>
  <c r="AG2"/>
  <c r="S2" i="8"/>
  <c r="T2"/>
  <c r="U2"/>
  <c r="V2"/>
  <c r="W2"/>
  <c r="X2"/>
  <c r="Y2"/>
  <c r="Z2"/>
  <c r="AA2"/>
  <c r="AB2"/>
  <c r="AC2"/>
  <c r="AD2"/>
  <c r="AE2"/>
  <c r="AF2"/>
  <c r="AG2"/>
  <c r="S2" i="11"/>
  <c r="T2"/>
  <c r="U2"/>
  <c r="V2"/>
  <c r="W2"/>
  <c r="X2"/>
  <c r="Y2"/>
  <c r="Z2"/>
  <c r="AA2"/>
  <c r="AB2"/>
  <c r="AC2"/>
  <c r="AD2"/>
  <c r="AE2"/>
  <c r="AF2"/>
  <c r="AG2"/>
  <c r="S2" i="17"/>
  <c r="T2"/>
  <c r="U2"/>
  <c r="V2"/>
  <c r="W2"/>
  <c r="X2"/>
  <c r="Y2"/>
  <c r="Z2"/>
  <c r="AA2"/>
  <c r="AB2"/>
  <c r="AC2"/>
  <c r="AD2"/>
  <c r="AE2"/>
  <c r="AF2"/>
  <c r="AG2"/>
  <c r="S2" i="19"/>
  <c r="T2"/>
  <c r="U2"/>
  <c r="V2"/>
  <c r="W2"/>
  <c r="X2"/>
  <c r="Y2"/>
  <c r="Z2"/>
  <c r="AA2"/>
  <c r="AB2"/>
  <c r="AC2"/>
  <c r="AD2"/>
  <c r="AE2"/>
  <c r="AF2"/>
  <c r="AG2"/>
  <c r="S2" i="21"/>
  <c r="T2"/>
  <c r="U2"/>
  <c r="V2"/>
  <c r="W2"/>
  <c r="X2"/>
  <c r="Y2"/>
  <c r="Z2"/>
  <c r="AA2"/>
  <c r="AB2"/>
  <c r="AC2"/>
  <c r="AD2"/>
  <c r="AE2"/>
  <c r="AF2"/>
  <c r="AG2"/>
  <c r="B15" i="6"/>
  <c r="AE10" i="8"/>
  <c r="AE25"/>
  <c r="AF10"/>
  <c r="AF25"/>
  <c r="AG10"/>
  <c r="AG25"/>
  <c r="AE10" i="3"/>
  <c r="AE25"/>
  <c r="AF10"/>
  <c r="AF25"/>
  <c r="AG10"/>
  <c r="AG25"/>
  <c r="B24" i="6"/>
  <c r="Q5" i="9"/>
  <c r="Q7"/>
  <c r="Q9"/>
  <c r="R3"/>
  <c r="X13" i="1"/>
  <c r="X14"/>
  <c r="AE10" i="6"/>
  <c r="AE25"/>
  <c r="AF10"/>
  <c r="AF25"/>
  <c r="AG10"/>
  <c r="AG25"/>
  <c r="E3"/>
  <c r="D5"/>
  <c r="D7"/>
  <c r="AE10" i="9"/>
  <c r="AE25"/>
  <c r="AF10"/>
  <c r="AF25"/>
  <c r="AG10"/>
  <c r="AG25"/>
  <c r="R9"/>
  <c r="S3"/>
  <c r="R5"/>
  <c r="R7"/>
  <c r="F3" i="6"/>
  <c r="E9"/>
  <c r="E5"/>
  <c r="E7"/>
  <c r="D23" i="1"/>
  <c r="D17"/>
  <c r="B17"/>
  <c r="V23"/>
  <c r="V16"/>
  <c r="V24"/>
  <c r="V15"/>
  <c r="V13"/>
  <c r="E16"/>
  <c r="E15"/>
  <c r="E13"/>
  <c r="F15"/>
  <c r="F16"/>
  <c r="F12"/>
  <c r="F13"/>
  <c r="F14"/>
  <c r="G15"/>
  <c r="G23"/>
  <c r="G16"/>
  <c r="G12"/>
  <c r="G13"/>
  <c r="H23"/>
  <c r="H15"/>
  <c r="H16"/>
  <c r="H13"/>
  <c r="H14"/>
  <c r="H12"/>
  <c r="I23"/>
  <c r="I15"/>
  <c r="I16"/>
  <c r="I12"/>
  <c r="I13"/>
  <c r="I14"/>
  <c r="J23"/>
  <c r="J16"/>
  <c r="J15"/>
  <c r="J12"/>
  <c r="J13"/>
  <c r="J14"/>
  <c r="K23"/>
  <c r="K16"/>
  <c r="K24"/>
  <c r="K15"/>
  <c r="K12"/>
  <c r="L23"/>
  <c r="L16"/>
  <c r="L24"/>
  <c r="L15"/>
  <c r="L13"/>
  <c r="L14"/>
  <c r="L12"/>
  <c r="S15"/>
  <c r="S23"/>
  <c r="S16"/>
  <c r="S12"/>
  <c r="S13"/>
  <c r="S14"/>
  <c r="T15"/>
  <c r="T24"/>
  <c r="T23"/>
  <c r="T16"/>
  <c r="T12"/>
  <c r="T13"/>
  <c r="U23"/>
  <c r="U15"/>
  <c r="U12"/>
  <c r="U13"/>
  <c r="U14"/>
  <c r="W23"/>
  <c r="W16"/>
  <c r="W24"/>
  <c r="W15"/>
  <c r="W13"/>
  <c r="W14"/>
  <c r="Q23"/>
  <c r="Q16"/>
  <c r="Q15"/>
  <c r="Q13"/>
  <c r="Q14"/>
  <c r="R23"/>
  <c r="R16"/>
  <c r="R24"/>
  <c r="R15"/>
  <c r="R13"/>
  <c r="M15"/>
  <c r="M16"/>
  <c r="M12"/>
  <c r="M13"/>
  <c r="M14"/>
  <c r="N16"/>
  <c r="N15"/>
  <c r="N12"/>
  <c r="N13"/>
  <c r="O23"/>
  <c r="O16"/>
  <c r="O24"/>
  <c r="O15"/>
  <c r="O12"/>
  <c r="O13"/>
  <c r="O14"/>
  <c r="P23"/>
  <c r="P15"/>
  <c r="P13"/>
  <c r="D13"/>
  <c r="D14"/>
  <c r="D16"/>
  <c r="D15"/>
  <c r="C15"/>
  <c r="C23"/>
  <c r="C16"/>
  <c r="C13"/>
  <c r="C14"/>
  <c r="B4"/>
  <c r="B6"/>
  <c r="AG9"/>
  <c r="AF9"/>
  <c r="AE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G8"/>
  <c r="AF8"/>
  <c r="AE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7"/>
  <c r="AF7"/>
  <c r="AE7"/>
  <c r="AG5"/>
  <c r="AF5"/>
  <c r="AE5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22"/>
  <c r="B21"/>
  <c r="B20"/>
  <c r="B19"/>
  <c r="B18"/>
  <c r="B15"/>
  <c r="B11"/>
  <c r="V14"/>
  <c r="AE14"/>
  <c r="AF14"/>
  <c r="AG14"/>
  <c r="E14"/>
  <c r="P14"/>
  <c r="R14"/>
  <c r="AG24"/>
  <c r="AF24"/>
  <c r="AE24"/>
  <c r="U24"/>
  <c r="S24"/>
  <c r="Q24"/>
  <c r="N24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T14"/>
  <c r="N14"/>
  <c r="C24"/>
  <c r="S5" i="9"/>
  <c r="S7"/>
  <c r="S9"/>
  <c r="T3"/>
  <c r="AE10" i="1"/>
  <c r="AE25"/>
  <c r="AF10"/>
  <c r="AF25"/>
  <c r="AG10"/>
  <c r="AG25"/>
  <c r="F9" i="6"/>
  <c r="F5"/>
  <c r="F7"/>
  <c r="G3"/>
  <c r="G14" i="1"/>
  <c r="B23"/>
  <c r="K13"/>
  <c r="B13"/>
  <c r="B12"/>
  <c r="B16"/>
  <c r="M24"/>
  <c r="P24"/>
  <c r="C25"/>
  <c r="D10"/>
  <c r="B8"/>
  <c r="T9" i="9"/>
  <c r="U3"/>
  <c r="T5"/>
  <c r="T7"/>
  <c r="H3" i="6"/>
  <c r="G9"/>
  <c r="G5"/>
  <c r="G7"/>
  <c r="B14" i="1"/>
  <c r="B25"/>
  <c r="K14"/>
  <c r="J24"/>
  <c r="I24"/>
  <c r="H24"/>
  <c r="G24"/>
  <c r="F24"/>
  <c r="E24"/>
  <c r="D24"/>
  <c r="D25"/>
  <c r="E10"/>
  <c r="B24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U5" i="9"/>
  <c r="U7"/>
  <c r="U9"/>
  <c r="V3"/>
  <c r="H9" i="6"/>
  <c r="H5"/>
  <c r="H7"/>
  <c r="I3"/>
  <c r="B3" i="1"/>
  <c r="V9" i="9"/>
  <c r="W3"/>
  <c r="X3"/>
  <c r="V5"/>
  <c r="V7"/>
  <c r="J3" i="6"/>
  <c r="I9"/>
  <c r="I5"/>
  <c r="I7"/>
  <c r="B5" i="1"/>
  <c r="B7"/>
  <c r="B9"/>
  <c r="X9" i="9"/>
  <c r="X5"/>
  <c r="X7"/>
  <c r="W5"/>
  <c r="W7"/>
  <c r="W9"/>
  <c r="J9" i="6"/>
  <c r="J5"/>
  <c r="J7"/>
  <c r="K3"/>
  <c r="B3" i="9"/>
  <c r="B5"/>
  <c r="B7"/>
  <c r="L3" i="6"/>
  <c r="K9"/>
  <c r="K5"/>
  <c r="K7"/>
  <c r="B9" i="9"/>
  <c r="L9" i="6"/>
  <c r="L5"/>
  <c r="L7"/>
  <c r="M3"/>
  <c r="N3"/>
  <c r="M9"/>
  <c r="M5"/>
  <c r="M7"/>
  <c r="N9"/>
  <c r="N5"/>
  <c r="N7"/>
  <c r="O3"/>
  <c r="P3"/>
  <c r="O9"/>
  <c r="O5"/>
  <c r="O7"/>
  <c r="P9"/>
  <c r="P5"/>
  <c r="P7"/>
  <c r="Q3"/>
  <c r="R3"/>
  <c r="Q9"/>
  <c r="Q5"/>
  <c r="Q7"/>
  <c r="R9"/>
  <c r="R5"/>
  <c r="R7"/>
  <c r="S3"/>
  <c r="T3"/>
  <c r="S9"/>
  <c r="S5"/>
  <c r="S7"/>
  <c r="T9"/>
  <c r="T5"/>
  <c r="T7"/>
  <c r="U3"/>
  <c r="V3"/>
  <c r="U9"/>
  <c r="U5"/>
  <c r="U7"/>
  <c r="V9"/>
  <c r="V5"/>
  <c r="V7"/>
  <c r="W3"/>
  <c r="X3"/>
  <c r="B3"/>
  <c r="B5"/>
  <c r="B7"/>
  <c r="W9"/>
  <c r="W5"/>
  <c r="W7"/>
  <c r="B9"/>
  <c r="X9"/>
  <c r="X5"/>
  <c r="X7"/>
  <c r="B7" i="11"/>
  <c r="B7" i="4"/>
  <c r="B8"/>
  <c r="B14"/>
  <c r="B25"/>
  <c r="B9" i="17"/>
  <c r="AF25" i="7"/>
  <c r="AG10"/>
  <c r="AG25"/>
  <c r="AF10"/>
  <c r="B25" i="18"/>
  <c r="Q20" i="26"/>
  <c r="Q12"/>
  <c r="Q4"/>
  <c r="Q19"/>
  <c r="Q11"/>
  <c r="Q22"/>
  <c r="Q14"/>
  <c r="Q6"/>
  <c r="Q21"/>
  <c r="Q13"/>
  <c r="Q5"/>
  <c r="Q3"/>
  <c r="Q24"/>
  <c r="Q16"/>
  <c r="Q8"/>
  <c r="Q23"/>
  <c r="Q15"/>
  <c r="Q7"/>
  <c r="Q18"/>
  <c r="Q10"/>
  <c r="Q25"/>
  <c r="Q17"/>
  <c r="Q9"/>
  <c r="Q2"/>
  <c r="O20"/>
  <c r="O12"/>
  <c r="O4"/>
  <c r="O19"/>
  <c r="O11"/>
  <c r="O22"/>
  <c r="O14"/>
  <c r="O6"/>
  <c r="O21"/>
  <c r="O13"/>
  <c r="O5"/>
  <c r="O3"/>
  <c r="O24"/>
  <c r="O16"/>
  <c r="O8"/>
  <c r="O23"/>
  <c r="O15"/>
  <c r="O7"/>
  <c r="O18"/>
  <c r="O10"/>
  <c r="O25"/>
  <c r="O17"/>
  <c r="O9"/>
  <c r="O2"/>
  <c r="M20"/>
  <c r="M12"/>
  <c r="M4"/>
  <c r="M19"/>
  <c r="M11"/>
  <c r="M22"/>
  <c r="M14"/>
  <c r="M6"/>
  <c r="M21"/>
  <c r="M13"/>
  <c r="M5"/>
  <c r="M3"/>
  <c r="M24"/>
  <c r="M16"/>
  <c r="M8"/>
  <c r="M23"/>
  <c r="M15"/>
  <c r="M7"/>
  <c r="M18"/>
  <c r="M10"/>
  <c r="M25"/>
  <c r="M17"/>
  <c r="M9"/>
  <c r="M2"/>
  <c r="K20"/>
  <c r="K12"/>
  <c r="K4"/>
  <c r="K19"/>
  <c r="K11"/>
  <c r="K22"/>
  <c r="K14"/>
  <c r="K6"/>
  <c r="K21"/>
  <c r="K13"/>
  <c r="K5"/>
  <c r="K3"/>
  <c r="K24"/>
  <c r="K16"/>
  <c r="K8"/>
  <c r="K23"/>
  <c r="K15"/>
  <c r="K7"/>
  <c r="K18"/>
  <c r="K10"/>
  <c r="K25"/>
  <c r="K17"/>
  <c r="K9"/>
  <c r="K2"/>
  <c r="I20"/>
  <c r="I12"/>
  <c r="I4"/>
  <c r="I19"/>
  <c r="I11"/>
  <c r="I22"/>
  <c r="I14"/>
  <c r="I6"/>
  <c r="I21"/>
  <c r="I13"/>
  <c r="I5"/>
  <c r="I3"/>
  <c r="I24"/>
  <c r="I16"/>
  <c r="I8"/>
  <c r="I23"/>
  <c r="I15"/>
  <c r="I7"/>
  <c r="I10"/>
  <c r="I17"/>
  <c r="I18"/>
  <c r="I25"/>
  <c r="I2"/>
  <c r="I9"/>
  <c r="G20"/>
  <c r="G12"/>
  <c r="G4"/>
  <c r="G19"/>
  <c r="G11"/>
  <c r="G22"/>
  <c r="G14"/>
  <c r="G6"/>
  <c r="G21"/>
  <c r="G13"/>
  <c r="G5"/>
  <c r="G3"/>
  <c r="G16"/>
  <c r="G23"/>
  <c r="G7"/>
  <c r="G10"/>
  <c r="G17"/>
  <c r="G24"/>
  <c r="G8"/>
  <c r="G15"/>
  <c r="G18"/>
  <c r="G25"/>
  <c r="G2"/>
  <c r="G9"/>
  <c r="E20"/>
  <c r="E12"/>
  <c r="E4"/>
  <c r="E19"/>
  <c r="E11"/>
  <c r="E22"/>
  <c r="E14"/>
  <c r="E6"/>
  <c r="E21"/>
  <c r="E13"/>
  <c r="E5"/>
  <c r="E3"/>
  <c r="E16"/>
  <c r="E23"/>
  <c r="E7"/>
  <c r="E10"/>
  <c r="E17"/>
  <c r="E24"/>
  <c r="E8"/>
  <c r="E15"/>
  <c r="E18"/>
  <c r="E25"/>
  <c r="E2"/>
  <c r="E9"/>
  <c r="C8"/>
  <c r="C9"/>
  <c r="C5"/>
  <c r="C7"/>
  <c r="C25"/>
  <c r="C14"/>
  <c r="C24"/>
  <c r="C10"/>
  <c r="B8"/>
  <c r="B7"/>
  <c r="R23"/>
  <c r="R15"/>
  <c r="R7"/>
  <c r="R22"/>
  <c r="R14"/>
  <c r="R6"/>
  <c r="R21"/>
  <c r="R13"/>
  <c r="R5"/>
  <c r="R20"/>
  <c r="R12"/>
  <c r="R11"/>
  <c r="R18"/>
  <c r="R25"/>
  <c r="R9"/>
  <c r="R16"/>
  <c r="R4"/>
  <c r="R19"/>
  <c r="R3"/>
  <c r="R10"/>
  <c r="R17"/>
  <c r="R24"/>
  <c r="R2"/>
  <c r="R8"/>
  <c r="P23"/>
  <c r="P15"/>
  <c r="P7"/>
  <c r="P22"/>
  <c r="P14"/>
  <c r="P6"/>
  <c r="P21"/>
  <c r="P13"/>
  <c r="P5"/>
  <c r="P20"/>
  <c r="P12"/>
  <c r="P11"/>
  <c r="P18"/>
  <c r="P25"/>
  <c r="P9"/>
  <c r="P16"/>
  <c r="P4"/>
  <c r="P19"/>
  <c r="P3"/>
  <c r="P10"/>
  <c r="P17"/>
  <c r="P24"/>
  <c r="P2"/>
  <c r="P8"/>
  <c r="N23"/>
  <c r="N15"/>
  <c r="N7"/>
  <c r="N22"/>
  <c r="N14"/>
  <c r="N6"/>
  <c r="N21"/>
  <c r="N13"/>
  <c r="N5"/>
  <c r="N20"/>
  <c r="N12"/>
  <c r="N11"/>
  <c r="N18"/>
  <c r="N25"/>
  <c r="N9"/>
  <c r="N16"/>
  <c r="N4"/>
  <c r="N19"/>
  <c r="N3"/>
  <c r="N10"/>
  <c r="N17"/>
  <c r="N24"/>
  <c r="N2"/>
  <c r="N8"/>
  <c r="L23"/>
  <c r="L15"/>
  <c r="L7"/>
  <c r="L4"/>
  <c r="L18"/>
  <c r="L8"/>
  <c r="L21"/>
  <c r="L13"/>
  <c r="L5"/>
  <c r="L24"/>
  <c r="L16"/>
  <c r="L11"/>
  <c r="L22"/>
  <c r="L25"/>
  <c r="L9"/>
  <c r="L20"/>
  <c r="L6"/>
  <c r="L19"/>
  <c r="L3"/>
  <c r="L14"/>
  <c r="L17"/>
  <c r="L10"/>
  <c r="L2"/>
  <c r="L12"/>
  <c r="J23"/>
  <c r="J15"/>
  <c r="J7"/>
  <c r="J20"/>
  <c r="J4"/>
  <c r="J10"/>
  <c r="J25"/>
  <c r="J17"/>
  <c r="J9"/>
  <c r="J24"/>
  <c r="J8"/>
  <c r="J14"/>
  <c r="J11"/>
  <c r="J12"/>
  <c r="J6"/>
  <c r="J13"/>
  <c r="J16"/>
  <c r="J19"/>
  <c r="J3"/>
  <c r="J18"/>
  <c r="J21"/>
  <c r="J5"/>
  <c r="J2"/>
  <c r="J22"/>
  <c r="H23"/>
  <c r="H15"/>
  <c r="H7"/>
  <c r="H18"/>
  <c r="H4"/>
  <c r="H12"/>
  <c r="H21"/>
  <c r="H13"/>
  <c r="H5"/>
  <c r="H14"/>
  <c r="H24"/>
  <c r="H11"/>
  <c r="H10"/>
  <c r="H25"/>
  <c r="H9"/>
  <c r="H6"/>
  <c r="H8"/>
  <c r="H19"/>
  <c r="H3"/>
  <c r="H20"/>
  <c r="H17"/>
  <c r="H22"/>
  <c r="H2"/>
  <c r="H16"/>
  <c r="F23"/>
  <c r="F15"/>
  <c r="F7"/>
  <c r="F20"/>
  <c r="F4"/>
  <c r="F10"/>
  <c r="F25"/>
  <c r="F17"/>
  <c r="F9"/>
  <c r="F24"/>
  <c r="F8"/>
  <c r="F14"/>
  <c r="F11"/>
  <c r="F12"/>
  <c r="F6"/>
  <c r="F13"/>
  <c r="F16"/>
  <c r="F19"/>
  <c r="F3"/>
  <c r="F18"/>
  <c r="F21"/>
  <c r="F5"/>
  <c r="F2"/>
  <c r="F22"/>
  <c r="D23"/>
  <c r="D15"/>
  <c r="D7"/>
  <c r="D18"/>
  <c r="D4"/>
  <c r="D12"/>
  <c r="D21"/>
  <c r="D13"/>
  <c r="D5"/>
  <c r="D14"/>
  <c r="D24"/>
  <c r="D11"/>
  <c r="D10"/>
  <c r="D25"/>
  <c r="D9"/>
  <c r="D6"/>
  <c r="D8"/>
  <c r="D19"/>
  <c r="D3"/>
  <c r="D20"/>
  <c r="D17"/>
  <c r="D22"/>
  <c r="D2"/>
  <c r="D16"/>
  <c r="B24"/>
  <c r="C20"/>
  <c r="B20"/>
  <c r="C18"/>
  <c r="B18"/>
  <c r="C15"/>
  <c r="B15"/>
  <c r="B25"/>
  <c r="C22"/>
  <c r="B22"/>
  <c r="C4"/>
  <c r="B4"/>
  <c r="C16"/>
  <c r="B16"/>
  <c r="C12"/>
  <c r="B12"/>
  <c r="C6"/>
  <c r="B6"/>
  <c r="C23"/>
  <c r="B23"/>
  <c r="C13"/>
  <c r="B13"/>
  <c r="C21"/>
  <c r="B21"/>
  <c r="C19"/>
  <c r="B19"/>
  <c r="C17"/>
  <c r="B17"/>
  <c r="B9"/>
  <c r="C11"/>
  <c r="B11"/>
  <c r="B14"/>
  <c r="C2"/>
  <c r="C3"/>
  <c r="B3"/>
  <c r="B5"/>
</calcChain>
</file>

<file path=xl/comments1.xml><?xml version="1.0" encoding="utf-8"?>
<comments xmlns="http://schemas.openxmlformats.org/spreadsheetml/2006/main">
  <authors>
    <author>ACC</author>
  </authors>
  <commentList>
    <comment ref="U15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จะมียอด 47500 Refund คงเหลือ เมื่อวันที่ 29/12/12 เลยเอามาใช้ Refund วันนี้เนื่องจากลูกค้าเข้ามาพักใหม่ค่ะ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ACC:</t>
        </r>
        <r>
          <rPr>
            <sz val="9"/>
            <color indexed="81"/>
            <rFont val="Tahoma"/>
            <family val="2"/>
          </rPr>
          <t xml:space="preserve">
ค่าอาหารลูกค้าคุณติ๊ก</t>
        </r>
      </text>
    </comment>
  </commentList>
</comments>
</file>

<file path=xl/sharedStrings.xml><?xml version="1.0" encoding="utf-8"?>
<sst xmlns="http://schemas.openxmlformats.org/spreadsheetml/2006/main" count="462" uniqueCount="47">
  <si>
    <t>จำนวนห้องพักที่มีทั้งหมด</t>
  </si>
  <si>
    <t>ห้องปิด - ปรับปรุง</t>
  </si>
  <si>
    <t>ห้องพักที่มีพร้อมขาย</t>
  </si>
  <si>
    <t>ห้องพักที่ขายได้</t>
  </si>
  <si>
    <t>% ห้องพักที่ขายได้</t>
  </si>
  <si>
    <t>ค่าห้องเฉลี่ยต่อห้องที่ขายได้</t>
  </si>
  <si>
    <t>ค่าห้องเฉลี่ยต่อห้องที่มีทั้งหมด</t>
  </si>
  <si>
    <t>รายการ</t>
  </si>
  <si>
    <t xml:space="preserve">   ค่าห้องพัก</t>
  </si>
  <si>
    <t xml:space="preserve">   ค่าอาหารและเครื่องดื่ม</t>
  </si>
  <si>
    <t xml:space="preserve">   อื่น ๆ</t>
  </si>
  <si>
    <t>รวมรายรับ</t>
  </si>
  <si>
    <t>รวมทั้งสิ้น</t>
  </si>
  <si>
    <t>สรุปรายได้ - รายรับ</t>
  </si>
  <si>
    <t>รวมรายได้</t>
  </si>
  <si>
    <t>เงินสด</t>
  </si>
  <si>
    <t>เครดิตการ์ด</t>
  </si>
  <si>
    <t>เช็ค / โอนเงิน</t>
  </si>
  <si>
    <t>ปีกัสทัวร์</t>
  </si>
  <si>
    <t>เว็บไซด์</t>
  </si>
  <si>
    <t>วอยซ์เชอร์ / ไทยเที่ยวไทย</t>
  </si>
  <si>
    <t>ลูกหนี้ - ส่งบิลเก็บเงิน</t>
  </si>
  <si>
    <t>เลี้ยงรับรอง</t>
  </si>
  <si>
    <t>ยอดยกมา</t>
  </si>
  <si>
    <t>รวมทั้งสิ้น - ยอดยกไป</t>
  </si>
  <si>
    <t>ล้างยอด - ลูกหนี้แขกพัก</t>
  </si>
  <si>
    <t>แอลเค กรุ๊ป</t>
  </si>
  <si>
    <t>แอลเค เมโทรโพล</t>
  </si>
  <si>
    <t>แอลเค เรเนสซองส์</t>
  </si>
  <si>
    <t>แอลเค รอยัลสวีท</t>
  </si>
  <si>
    <t>แอลเค แมนชั่น</t>
  </si>
  <si>
    <t>แอลเค มันตราปูระ</t>
  </si>
  <si>
    <t>แอลเค ออนนิกซ์</t>
  </si>
  <si>
    <t>แอลเค เดอะมิราเคิล</t>
  </si>
  <si>
    <t>แอลเค ดิเอ็มเพรส</t>
  </si>
  <si>
    <t>แอลเค อวินิว (19)</t>
  </si>
  <si>
    <t>แอลเค พรีเมียร์</t>
  </si>
  <si>
    <t>แอลเค คริสตัลเพลส</t>
  </si>
  <si>
    <t>แอลเค เพิร์ลเพลส</t>
  </si>
  <si>
    <t>แอลเค รอยัลวิง</t>
  </si>
  <si>
    <t>แอลเค ลิฟวิ่งเพลส</t>
  </si>
  <si>
    <t>แอลเค โนเบิลสวีท</t>
  </si>
  <si>
    <t>แอลเค แกรนด์ลิฟวิ่ง</t>
  </si>
  <si>
    <t>-</t>
  </si>
  <si>
    <t>Day</t>
  </si>
  <si>
    <t>สรุปรายได้ - รายรับ  ตั้งแต่วันที่ 1</t>
  </si>
  <si>
    <t>ถึงวันที่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</si>
</sst>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.00_ ;[Red]\-#,##0.00\ "/>
  </numFmts>
  <fonts count="13">
    <font>
      <sz val="11"/>
      <color theme="1"/>
      <name val="Tahoma"/>
      <family val="2"/>
      <charset val="222"/>
    </font>
    <font>
      <sz val="1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Tahoma"/>
      <family val="2"/>
      <charset val="22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1"/>
      <color rgb="FFC00000"/>
      <name val="Tahoma"/>
      <family val="2"/>
    </font>
    <font>
      <sz val="11"/>
      <color rgb="FF0070C0"/>
      <name val="Tahoma"/>
      <family val="2"/>
    </font>
    <font>
      <sz val="11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2">
    <xf numFmtId="0" fontId="0" fillId="0" borderId="0" xfId="0"/>
    <xf numFmtId="0" fontId="6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188" fontId="7" fillId="0" borderId="0" xfId="2" applyNumberFormat="1" applyFont="1" applyAlignment="1">
      <alignment vertical="center"/>
    </xf>
    <xf numFmtId="187" fontId="7" fillId="0" borderId="0" xfId="2" applyFont="1" applyAlignment="1">
      <alignment vertical="center"/>
    </xf>
    <xf numFmtId="10" fontId="7" fillId="0" borderId="0" xfId="4" applyNumberFormat="1" applyFont="1" applyAlignment="1">
      <alignment vertical="center"/>
    </xf>
    <xf numFmtId="0" fontId="7" fillId="0" borderId="1" xfId="3" applyFont="1" applyBorder="1" applyAlignme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8" fillId="3" borderId="2" xfId="3" applyFont="1" applyFill="1" applyBorder="1" applyAlignment="1">
      <alignment vertical="center"/>
    </xf>
    <xf numFmtId="0" fontId="8" fillId="2" borderId="3" xfId="3" applyFont="1" applyFill="1" applyBorder="1" applyAlignment="1">
      <alignment vertical="center"/>
    </xf>
    <xf numFmtId="0" fontId="9" fillId="0" borderId="0" xfId="3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88" fontId="10" fillId="0" borderId="0" xfId="2" applyNumberFormat="1" applyFont="1" applyAlignment="1" applyProtection="1">
      <alignment vertical="center"/>
      <protection locked="0"/>
    </xf>
    <xf numFmtId="0" fontId="8" fillId="4" borderId="0" xfId="3" applyFont="1" applyFill="1" applyBorder="1" applyAlignment="1">
      <alignment vertical="center"/>
    </xf>
    <xf numFmtId="0" fontId="7" fillId="0" borderId="0" xfId="3" applyFont="1" applyAlignment="1">
      <alignment horizontal="left" vertical="center" indent="1"/>
    </xf>
    <xf numFmtId="0" fontId="7" fillId="0" borderId="1" xfId="3" applyFont="1" applyBorder="1" applyAlignment="1">
      <alignment horizontal="left" vertical="center" indent="1"/>
    </xf>
    <xf numFmtId="43" fontId="8" fillId="3" borderId="2" xfId="1" applyFont="1" applyFill="1" applyBorder="1" applyAlignment="1">
      <alignment vertical="center"/>
    </xf>
    <xf numFmtId="43" fontId="8" fillId="4" borderId="2" xfId="1" applyFont="1" applyFill="1" applyBorder="1" applyAlignment="1">
      <alignment vertical="center"/>
    </xf>
    <xf numFmtId="43" fontId="8" fillId="2" borderId="3" xfId="1" applyFont="1" applyFill="1" applyBorder="1" applyAlignment="1">
      <alignment vertical="center"/>
    </xf>
    <xf numFmtId="0" fontId="8" fillId="2" borderId="2" xfId="3" applyFont="1" applyFill="1" applyBorder="1" applyAlignment="1">
      <alignment vertical="center"/>
    </xf>
    <xf numFmtId="43" fontId="7" fillId="0" borderId="0" xfId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43" fontId="1" fillId="0" borderId="1" xfId="1" applyFont="1" applyBorder="1" applyAlignment="1" applyProtection="1">
      <alignment vertical="center"/>
      <protection locked="0"/>
    </xf>
    <xf numFmtId="188" fontId="1" fillId="0" borderId="0" xfId="2" applyNumberFormat="1" applyFont="1" applyAlignment="1" applyProtection="1">
      <alignment vertical="center"/>
      <protection locked="0"/>
    </xf>
    <xf numFmtId="0" fontId="11" fillId="0" borderId="0" xfId="3" applyFont="1" applyAlignment="1">
      <alignment vertical="center"/>
    </xf>
    <xf numFmtId="188" fontId="7" fillId="0" borderId="0" xfId="2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43" fontId="8" fillId="2" borderId="2" xfId="1" applyFont="1" applyFill="1" applyBorder="1" applyAlignment="1" applyProtection="1">
      <alignment vertical="center"/>
      <protection locked="0"/>
    </xf>
    <xf numFmtId="43" fontId="7" fillId="0" borderId="0" xfId="0" applyNumberFormat="1" applyFont="1" applyAlignment="1" applyProtection="1">
      <alignment vertical="center"/>
      <protection locked="0"/>
    </xf>
    <xf numFmtId="0" fontId="10" fillId="0" borderId="0" xfId="3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88" fontId="11" fillId="0" borderId="0" xfId="2" applyNumberFormat="1" applyFont="1" applyAlignment="1" applyProtection="1">
      <alignment vertical="center"/>
      <protection locked="0"/>
    </xf>
    <xf numFmtId="4" fontId="8" fillId="2" borderId="2" xfId="1" applyNumberFormat="1" applyFont="1" applyFill="1" applyBorder="1" applyAlignment="1" applyProtection="1">
      <alignment vertical="center"/>
      <protection locked="0"/>
    </xf>
    <xf numFmtId="189" fontId="1" fillId="0" borderId="1" xfId="1" applyNumberFormat="1" applyFont="1" applyBorder="1" applyAlignment="1" applyProtection="1">
      <alignment vertical="center"/>
      <protection locked="0"/>
    </xf>
    <xf numFmtId="4" fontId="8" fillId="4" borderId="2" xfId="1" applyNumberFormat="1" applyFont="1" applyFill="1" applyBorder="1" applyAlignment="1">
      <alignment vertical="center"/>
    </xf>
    <xf numFmtId="4" fontId="8" fillId="2" borderId="3" xfId="1" applyNumberFormat="1" applyFont="1" applyFill="1" applyBorder="1" applyAlignment="1">
      <alignment vertical="center"/>
    </xf>
    <xf numFmtId="43" fontId="1" fillId="0" borderId="1" xfId="1" applyNumberFormat="1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43" fontId="8" fillId="2" borderId="2" xfId="1" applyNumberFormat="1" applyFont="1" applyFill="1" applyBorder="1" applyAlignment="1" applyProtection="1">
      <alignment vertical="center"/>
      <protection locked="0"/>
    </xf>
    <xf numFmtId="43" fontId="1" fillId="0" borderId="0" xfId="1" applyNumberFormat="1" applyFont="1" applyAlignment="1" applyProtection="1">
      <alignment vertical="center"/>
      <protection locked="0"/>
    </xf>
    <xf numFmtId="43" fontId="8" fillId="3" borderId="2" xfId="1" applyNumberFormat="1" applyFont="1" applyFill="1" applyBorder="1" applyAlignment="1">
      <alignment vertical="center"/>
    </xf>
    <xf numFmtId="43" fontId="8" fillId="4" borderId="2" xfId="1" applyNumberFormat="1" applyFont="1" applyFill="1" applyBorder="1" applyAlignment="1">
      <alignment vertical="center"/>
    </xf>
    <xf numFmtId="43" fontId="8" fillId="2" borderId="3" xfId="1" applyNumberFormat="1" applyFont="1" applyFill="1" applyBorder="1" applyAlignment="1">
      <alignment vertical="center"/>
    </xf>
    <xf numFmtId="188" fontId="7" fillId="0" borderId="0" xfId="2" applyNumberFormat="1" applyFont="1" applyFill="1" applyAlignment="1" applyProtection="1">
      <alignment vertical="center"/>
      <protection locked="0"/>
    </xf>
    <xf numFmtId="188" fontId="11" fillId="0" borderId="0" xfId="2" applyNumberFormat="1" applyFont="1" applyFill="1" applyAlignment="1" applyProtection="1">
      <alignment vertical="center"/>
      <protection locked="0"/>
    </xf>
    <xf numFmtId="187" fontId="7" fillId="0" borderId="0" xfId="2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/>
  </cellXfs>
  <cellStyles count="6">
    <cellStyle name="Comma" xfId="1" builtinId="3"/>
    <cellStyle name="Comma 2" xfId="2"/>
    <cellStyle name="Normal" xfId="0" builtinId="0"/>
    <cellStyle name="Normal 2" xfId="3"/>
    <cellStyle name="Percent" xfId="4" builtinId="5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19050</xdr:rowOff>
    </xdr:from>
    <xdr:to>
      <xdr:col>6</xdr:col>
      <xdr:colOff>9525</xdr:colOff>
      <xdr:row>1</xdr:row>
      <xdr:rowOff>0</xdr:rowOff>
    </xdr:to>
    <xdr:sp macro="[0]!back" textlink="">
      <xdr:nvSpPr>
        <xdr:cNvPr id="2" name="สี่เหลี่ยมมุมมน 1"/>
        <xdr:cNvSpPr/>
      </xdr:nvSpPr>
      <xdr:spPr>
        <a:xfrm>
          <a:off x="7762875" y="1905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1409700</xdr:colOff>
      <xdr:row>0</xdr:row>
      <xdr:rowOff>295275</xdr:rowOff>
    </xdr:to>
    <xdr:sp macro="[0]!back" textlink="">
      <xdr:nvSpPr>
        <xdr:cNvPr id="2" name="สี่เหลี่ยมมุมมน 1"/>
        <xdr:cNvSpPr/>
      </xdr:nvSpPr>
      <xdr:spPr>
        <a:xfrm>
          <a:off x="7743825" y="0"/>
          <a:ext cx="1409700" cy="2952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2400" b="1">
              <a:cs typeface="KodchiangUPC" pitchFamily="18" charset="-34"/>
            </a:rPr>
            <a:t>กลับหน้าหลัก</a:t>
          </a:r>
          <a:endParaRPr lang="en-US" sz="2400" b="1">
            <a:cs typeface="KodchiangUPC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27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4284</v>
      </c>
      <c r="C3" s="27">
        <v>153</v>
      </c>
      <c r="D3" s="27">
        <v>153</v>
      </c>
      <c r="E3" s="27">
        <v>153</v>
      </c>
      <c r="F3" s="27">
        <v>153</v>
      </c>
      <c r="G3" s="27">
        <v>153</v>
      </c>
      <c r="H3" s="27">
        <v>153</v>
      </c>
      <c r="I3" s="27">
        <v>153</v>
      </c>
      <c r="J3" s="27">
        <v>153</v>
      </c>
      <c r="K3" s="27">
        <v>153</v>
      </c>
      <c r="L3" s="27">
        <v>153</v>
      </c>
      <c r="M3" s="27">
        <v>153</v>
      </c>
      <c r="N3" s="27">
        <v>153</v>
      </c>
      <c r="O3" s="27">
        <v>153</v>
      </c>
      <c r="P3" s="27">
        <v>153</v>
      </c>
      <c r="Q3" s="27">
        <v>153</v>
      </c>
      <c r="R3" s="27">
        <v>153</v>
      </c>
      <c r="S3" s="27">
        <v>153</v>
      </c>
      <c r="T3" s="27">
        <v>153</v>
      </c>
      <c r="U3" s="27">
        <v>153</v>
      </c>
      <c r="V3" s="27">
        <v>153</v>
      </c>
      <c r="W3" s="27">
        <v>153</v>
      </c>
      <c r="X3" s="27">
        <v>153</v>
      </c>
      <c r="Y3" s="27">
        <v>153</v>
      </c>
      <c r="Z3" s="27">
        <v>153</v>
      </c>
      <c r="AA3" s="27">
        <v>153</v>
      </c>
      <c r="AB3" s="27">
        <v>153</v>
      </c>
      <c r="AC3" s="27">
        <v>153</v>
      </c>
      <c r="AD3" s="27">
        <v>153</v>
      </c>
      <c r="AE3" s="27"/>
      <c r="AF3" s="27"/>
      <c r="AG3" s="27"/>
    </row>
    <row r="4" spans="1:33">
      <c r="A4" s="31" t="s">
        <v>1</v>
      </c>
      <c r="B4" s="14">
        <f>SUM(C4:AG4)</f>
        <v>2</v>
      </c>
      <c r="C4" s="14"/>
      <c r="D4" s="14"/>
      <c r="E4" s="14"/>
      <c r="F4" s="14">
        <v>1</v>
      </c>
      <c r="G4" s="14"/>
      <c r="H4" s="14">
        <v>1</v>
      </c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4282</v>
      </c>
      <c r="C5" s="5">
        <f t="shared" ref="C5:AD5" si="1">+C3-C4</f>
        <v>153</v>
      </c>
      <c r="D5" s="5">
        <f t="shared" si="1"/>
        <v>153</v>
      </c>
      <c r="E5" s="5">
        <f t="shared" si="1"/>
        <v>153</v>
      </c>
      <c r="F5" s="5">
        <f t="shared" si="1"/>
        <v>152</v>
      </c>
      <c r="G5" s="5">
        <f t="shared" si="1"/>
        <v>153</v>
      </c>
      <c r="H5" s="5">
        <f t="shared" si="1"/>
        <v>152</v>
      </c>
      <c r="I5" s="5">
        <f t="shared" si="1"/>
        <v>153</v>
      </c>
      <c r="J5" s="5">
        <f t="shared" si="1"/>
        <v>153</v>
      </c>
      <c r="K5" s="5">
        <f t="shared" si="1"/>
        <v>153</v>
      </c>
      <c r="L5" s="5">
        <f t="shared" si="1"/>
        <v>153</v>
      </c>
      <c r="M5" s="5">
        <f t="shared" si="1"/>
        <v>153</v>
      </c>
      <c r="N5" s="5">
        <f t="shared" si="1"/>
        <v>153</v>
      </c>
      <c r="O5" s="5">
        <f t="shared" si="1"/>
        <v>153</v>
      </c>
      <c r="P5" s="5">
        <f t="shared" si="1"/>
        <v>153</v>
      </c>
      <c r="Q5" s="5">
        <f t="shared" si="1"/>
        <v>153</v>
      </c>
      <c r="R5" s="5">
        <f t="shared" si="1"/>
        <v>153</v>
      </c>
      <c r="S5" s="5">
        <f t="shared" si="1"/>
        <v>153</v>
      </c>
      <c r="T5" s="5">
        <f t="shared" si="1"/>
        <v>153</v>
      </c>
      <c r="U5" s="5">
        <f t="shared" si="1"/>
        <v>153</v>
      </c>
      <c r="V5" s="5">
        <f t="shared" si="1"/>
        <v>153</v>
      </c>
      <c r="W5" s="5">
        <f t="shared" si="1"/>
        <v>153</v>
      </c>
      <c r="X5" s="5">
        <f t="shared" si="1"/>
        <v>153</v>
      </c>
      <c r="Y5" s="5">
        <f t="shared" si="1"/>
        <v>153</v>
      </c>
      <c r="Z5" s="5">
        <f t="shared" si="1"/>
        <v>153</v>
      </c>
      <c r="AA5" s="5">
        <f t="shared" si="1"/>
        <v>153</v>
      </c>
      <c r="AB5" s="5">
        <f t="shared" si="1"/>
        <v>153</v>
      </c>
      <c r="AC5" s="5">
        <f t="shared" si="1"/>
        <v>153</v>
      </c>
      <c r="AD5" s="5">
        <f t="shared" si="1"/>
        <v>153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3973</v>
      </c>
      <c r="C6" s="34">
        <v>141</v>
      </c>
      <c r="D6" s="34">
        <v>143</v>
      </c>
      <c r="E6" s="34">
        <v>125</v>
      </c>
      <c r="F6" s="34">
        <v>131</v>
      </c>
      <c r="G6" s="34">
        <v>126</v>
      </c>
      <c r="H6" s="34">
        <v>135</v>
      </c>
      <c r="I6" s="34">
        <v>135</v>
      </c>
      <c r="J6" s="34">
        <v>140</v>
      </c>
      <c r="K6" s="34">
        <v>144</v>
      </c>
      <c r="L6" s="34">
        <v>137</v>
      </c>
      <c r="M6" s="34">
        <v>148</v>
      </c>
      <c r="N6" s="34">
        <v>153</v>
      </c>
      <c r="O6" s="34">
        <v>152</v>
      </c>
      <c r="P6" s="34">
        <v>148</v>
      </c>
      <c r="Q6" s="34">
        <v>151</v>
      </c>
      <c r="R6" s="34">
        <v>150</v>
      </c>
      <c r="S6" s="34">
        <v>152</v>
      </c>
      <c r="T6" s="34">
        <v>148</v>
      </c>
      <c r="U6" s="34">
        <v>145</v>
      </c>
      <c r="V6" s="34">
        <v>147</v>
      </c>
      <c r="W6" s="34">
        <v>141</v>
      </c>
      <c r="X6" s="34">
        <v>148</v>
      </c>
      <c r="Y6" s="34">
        <v>151</v>
      </c>
      <c r="Z6" s="34">
        <v>149</v>
      </c>
      <c r="AA6" s="34">
        <v>136</v>
      </c>
      <c r="AB6" s="34">
        <v>124</v>
      </c>
      <c r="AC6" s="34">
        <v>130</v>
      </c>
      <c r="AD6" s="34">
        <v>143</v>
      </c>
      <c r="AE6" s="25"/>
      <c r="AF6" s="25"/>
      <c r="AG6" s="25"/>
    </row>
    <row r="7" spans="1:33">
      <c r="A7" s="4" t="s">
        <v>4</v>
      </c>
      <c r="B7" s="7">
        <f>IF(B6=0,0,B6/B5)</f>
        <v>0.92783745913124704</v>
      </c>
      <c r="C7" s="7">
        <f t="shared" ref="C7:AD7" si="2">IF(C6=0,0,C6/C5)</f>
        <v>0.92156862745098034</v>
      </c>
      <c r="D7" s="7">
        <f t="shared" si="2"/>
        <v>0.934640522875817</v>
      </c>
      <c r="E7" s="7">
        <f t="shared" si="2"/>
        <v>0.81699346405228757</v>
      </c>
      <c r="F7" s="7">
        <f t="shared" si="2"/>
        <v>0.86184210526315785</v>
      </c>
      <c r="G7" s="7">
        <f t="shared" si="2"/>
        <v>0.82352941176470584</v>
      </c>
      <c r="H7" s="7">
        <f t="shared" si="2"/>
        <v>0.88815789473684215</v>
      </c>
      <c r="I7" s="7">
        <f t="shared" si="2"/>
        <v>0.88235294117647056</v>
      </c>
      <c r="J7" s="7">
        <f t="shared" si="2"/>
        <v>0.91503267973856206</v>
      </c>
      <c r="K7" s="7">
        <f t="shared" si="2"/>
        <v>0.94117647058823528</v>
      </c>
      <c r="L7" s="7">
        <f t="shared" si="2"/>
        <v>0.89542483660130723</v>
      </c>
      <c r="M7" s="7">
        <f t="shared" si="2"/>
        <v>0.9673202614379085</v>
      </c>
      <c r="N7" s="7">
        <f t="shared" si="2"/>
        <v>1</v>
      </c>
      <c r="O7" s="7">
        <f t="shared" si="2"/>
        <v>0.99346405228758172</v>
      </c>
      <c r="P7" s="7">
        <f t="shared" si="2"/>
        <v>0.9673202614379085</v>
      </c>
      <c r="Q7" s="7">
        <f t="shared" si="2"/>
        <v>0.98692810457516345</v>
      </c>
      <c r="R7" s="7">
        <f t="shared" si="2"/>
        <v>0.98039215686274506</v>
      </c>
      <c r="S7" s="7">
        <f t="shared" si="2"/>
        <v>0.99346405228758172</v>
      </c>
      <c r="T7" s="7">
        <f t="shared" si="2"/>
        <v>0.9673202614379085</v>
      </c>
      <c r="U7" s="7">
        <f t="shared" si="2"/>
        <v>0.94771241830065356</v>
      </c>
      <c r="V7" s="7">
        <f t="shared" si="2"/>
        <v>0.96078431372549022</v>
      </c>
      <c r="W7" s="7">
        <f t="shared" si="2"/>
        <v>0.92156862745098034</v>
      </c>
      <c r="X7" s="7">
        <f t="shared" si="2"/>
        <v>0.9673202614379085</v>
      </c>
      <c r="Y7" s="7">
        <f t="shared" si="2"/>
        <v>0.98692810457516345</v>
      </c>
      <c r="Z7" s="7">
        <f t="shared" si="2"/>
        <v>0.97385620915032678</v>
      </c>
      <c r="AA7" s="7">
        <f t="shared" si="2"/>
        <v>0.88888888888888884</v>
      </c>
      <c r="AB7" s="7">
        <f t="shared" si="2"/>
        <v>0.81045751633986929</v>
      </c>
      <c r="AC7" s="7">
        <f t="shared" si="2"/>
        <v>0.84967320261437906</v>
      </c>
      <c r="AD7" s="7">
        <f t="shared" si="2"/>
        <v>0.934640522875817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1548.2235112006042</v>
      </c>
      <c r="C8" s="6">
        <f t="shared" ref="C8:AD8" si="3">IF(C6=0,0,C11/C6)</f>
        <v>1401.6842553191491</v>
      </c>
      <c r="D8" s="6">
        <f t="shared" si="3"/>
        <v>1448.414195804196</v>
      </c>
      <c r="E8" s="6">
        <f t="shared" si="3"/>
        <v>1450.8376799999999</v>
      </c>
      <c r="F8" s="6">
        <f t="shared" si="3"/>
        <v>1575.1518320610687</v>
      </c>
      <c r="G8" s="6">
        <f t="shared" si="3"/>
        <v>1450.512619047619</v>
      </c>
      <c r="H8" s="6">
        <f t="shared" si="3"/>
        <v>1500.4131851851853</v>
      </c>
      <c r="I8" s="6">
        <f t="shared" si="3"/>
        <v>1415.8621481481482</v>
      </c>
      <c r="J8" s="6">
        <f t="shared" si="3"/>
        <v>1557.1947142857143</v>
      </c>
      <c r="K8" s="6">
        <f t="shared" si="3"/>
        <v>1592.8295833333332</v>
      </c>
      <c r="L8" s="6">
        <f t="shared" si="3"/>
        <v>1539.7102919708029</v>
      </c>
      <c r="M8" s="6">
        <f t="shared" si="3"/>
        <v>1644.3512162162162</v>
      </c>
      <c r="N8" s="6">
        <f t="shared" si="3"/>
        <v>1590.7796078431372</v>
      </c>
      <c r="O8" s="6">
        <f t="shared" si="3"/>
        <v>1526.8386842105265</v>
      </c>
      <c r="P8" s="6">
        <f t="shared" si="3"/>
        <v>1585.9025675675675</v>
      </c>
      <c r="Q8" s="6">
        <f t="shared" si="3"/>
        <v>1506.7124503311256</v>
      </c>
      <c r="R8" s="6">
        <f t="shared" si="3"/>
        <v>1535.1324</v>
      </c>
      <c r="S8" s="6">
        <f t="shared" si="3"/>
        <v>1531.5871710526317</v>
      </c>
      <c r="T8" s="6">
        <f t="shared" si="3"/>
        <v>1696.7539864864864</v>
      </c>
      <c r="U8" s="6">
        <f t="shared" si="3"/>
        <v>1471.9627586206898</v>
      </c>
      <c r="V8" s="6">
        <f t="shared" si="3"/>
        <v>1475.3385034013606</v>
      </c>
      <c r="W8" s="6">
        <f t="shared" si="3"/>
        <v>1505.4904964539007</v>
      </c>
      <c r="X8" s="6">
        <f t="shared" si="3"/>
        <v>1597.1243243243243</v>
      </c>
      <c r="Y8" s="6">
        <f t="shared" si="3"/>
        <v>1637.8388079470199</v>
      </c>
      <c r="Z8" s="6">
        <f t="shared" si="3"/>
        <v>1593.7818791946308</v>
      </c>
      <c r="AA8" s="6">
        <f t="shared" si="3"/>
        <v>1606.2022058823529</v>
      </c>
      <c r="AB8" s="6">
        <f t="shared" si="3"/>
        <v>1696.2828225806452</v>
      </c>
      <c r="AC8" s="6">
        <f t="shared" si="3"/>
        <v>1532.318</v>
      </c>
      <c r="AD8" s="6">
        <f t="shared" si="3"/>
        <v>1656.4707692307693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1435.8291339869284</v>
      </c>
      <c r="C9" s="6">
        <f t="shared" ref="C9:AD9" si="4">IF(C11=0,0,C11/C3)</f>
        <v>1291.7482352941176</v>
      </c>
      <c r="D9" s="6">
        <f t="shared" si="4"/>
        <v>1353.7466013071896</v>
      </c>
      <c r="E9" s="6">
        <f t="shared" si="4"/>
        <v>1185.3249019607842</v>
      </c>
      <c r="F9" s="6">
        <f t="shared" si="4"/>
        <v>1348.659411764706</v>
      </c>
      <c r="G9" s="6">
        <f t="shared" si="4"/>
        <v>1194.5398039215686</v>
      </c>
      <c r="H9" s="6">
        <f t="shared" si="4"/>
        <v>1323.8939869281046</v>
      </c>
      <c r="I9" s="6">
        <f t="shared" si="4"/>
        <v>1249.2901307189543</v>
      </c>
      <c r="J9" s="6">
        <f t="shared" si="4"/>
        <v>1424.8840522875817</v>
      </c>
      <c r="K9" s="6">
        <f t="shared" si="4"/>
        <v>1499.133725490196</v>
      </c>
      <c r="L9" s="6">
        <f t="shared" si="4"/>
        <v>1378.6948366013071</v>
      </c>
      <c r="M9" s="6">
        <f t="shared" si="4"/>
        <v>1590.614248366013</v>
      </c>
      <c r="N9" s="6">
        <f t="shared" si="4"/>
        <v>1590.7796078431372</v>
      </c>
      <c r="O9" s="6">
        <f t="shared" si="4"/>
        <v>1516.8593464052287</v>
      </c>
      <c r="P9" s="6">
        <f t="shared" si="4"/>
        <v>1534.0756862745097</v>
      </c>
      <c r="Q9" s="6">
        <f t="shared" si="4"/>
        <v>1487.016862745098</v>
      </c>
      <c r="R9" s="6">
        <f t="shared" si="4"/>
        <v>1505.0317647058823</v>
      </c>
      <c r="S9" s="6">
        <f t="shared" si="4"/>
        <v>1521.5767973856209</v>
      </c>
      <c r="T9" s="6">
        <f t="shared" si="4"/>
        <v>1641.3045098039215</v>
      </c>
      <c r="U9" s="6">
        <f t="shared" si="4"/>
        <v>1394.9973856209151</v>
      </c>
      <c r="V9" s="6">
        <f t="shared" si="4"/>
        <v>1417.4820915032681</v>
      </c>
      <c r="W9" s="6">
        <f t="shared" si="4"/>
        <v>1387.4128104575163</v>
      </c>
      <c r="X9" s="6">
        <f t="shared" si="4"/>
        <v>1544.9307189542483</v>
      </c>
      <c r="Y9" s="6">
        <f t="shared" si="4"/>
        <v>1616.4291503267973</v>
      </c>
      <c r="Z9" s="6">
        <f t="shared" si="4"/>
        <v>1552.1143790849674</v>
      </c>
      <c r="AA9" s="6">
        <f t="shared" si="4"/>
        <v>1427.7352941176471</v>
      </c>
      <c r="AB9" s="6">
        <f t="shared" si="4"/>
        <v>1374.7651633986929</v>
      </c>
      <c r="AC9" s="6">
        <f t="shared" si="4"/>
        <v>1301.96954248366</v>
      </c>
      <c r="AD9" s="6">
        <f t="shared" si="4"/>
        <v>1548.204705882353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-2292597.54</v>
      </c>
      <c r="D10" s="29">
        <f>C25</f>
        <v>-2154079.06</v>
      </c>
      <c r="E10" s="29">
        <f t="shared" ref="E10:AD10" si="5">D25</f>
        <v>-2330271.8000000003</v>
      </c>
      <c r="F10" s="29">
        <f t="shared" si="5"/>
        <v>-2477669.41</v>
      </c>
      <c r="G10" s="29">
        <f t="shared" si="5"/>
        <v>-2460619.52</v>
      </c>
      <c r="H10" s="29">
        <f t="shared" si="5"/>
        <v>-2466318.23</v>
      </c>
      <c r="I10" s="29">
        <f t="shared" si="5"/>
        <v>-2416871.4500000002</v>
      </c>
      <c r="J10" s="29">
        <f t="shared" si="5"/>
        <v>-2630086.0499999998</v>
      </c>
      <c r="K10" s="29">
        <f t="shared" si="5"/>
        <v>-2592887.15</v>
      </c>
      <c r="L10" s="29">
        <f t="shared" si="5"/>
        <v>-2490168.77</v>
      </c>
      <c r="M10" s="29">
        <f t="shared" si="5"/>
        <v>-2502329.46</v>
      </c>
      <c r="N10" s="29">
        <f t="shared" si="5"/>
        <v>-2464555.48</v>
      </c>
      <c r="O10" s="29">
        <f t="shared" si="5"/>
        <v>-2602130.6</v>
      </c>
      <c r="P10" s="29">
        <f t="shared" si="5"/>
        <v>-2595056.16</v>
      </c>
      <c r="Q10" s="29">
        <f t="shared" si="5"/>
        <v>-2617081.58</v>
      </c>
      <c r="R10" s="29">
        <f t="shared" si="5"/>
        <v>-2640188</v>
      </c>
      <c r="S10" s="29">
        <f t="shared" si="5"/>
        <v>-2494716.73</v>
      </c>
      <c r="T10" s="29">
        <f t="shared" si="5"/>
        <v>-2306030.48</v>
      </c>
      <c r="U10" s="29">
        <f t="shared" si="5"/>
        <v>-2255152.5499999998</v>
      </c>
      <c r="V10" s="29">
        <f t="shared" si="5"/>
        <v>-2182902.92</v>
      </c>
      <c r="W10" s="29">
        <f t="shared" si="5"/>
        <v>-3644473.16</v>
      </c>
      <c r="X10" s="29">
        <f t="shared" si="5"/>
        <v>-3576186.24</v>
      </c>
      <c r="Y10" s="29">
        <f t="shared" si="5"/>
        <v>-3496959.5400000005</v>
      </c>
      <c r="Z10" s="29">
        <f t="shared" si="5"/>
        <v>-3552255.8800000004</v>
      </c>
      <c r="AA10" s="29">
        <f t="shared" si="5"/>
        <v>-3477957.5400000005</v>
      </c>
      <c r="AB10" s="29">
        <f t="shared" si="5"/>
        <v>-3627629.0400000005</v>
      </c>
      <c r="AC10" s="29">
        <f t="shared" si="5"/>
        <v>-3598544.9700000007</v>
      </c>
      <c r="AD10" s="29">
        <f t="shared" si="5"/>
        <v>-3547027.5200000009</v>
      </c>
      <c r="AE10" s="29">
        <f>AD25</f>
        <v>-3563488.2000000011</v>
      </c>
      <c r="AF10" s="29">
        <f>AE25</f>
        <v>-3563488.2000000011</v>
      </c>
      <c r="AG10" s="29">
        <f>AF25</f>
        <v>-3563488.2000000011</v>
      </c>
    </row>
    <row r="11" spans="1:33">
      <c r="A11" s="4" t="s">
        <v>8</v>
      </c>
      <c r="B11" s="23">
        <f>SUM(C11:AG11)</f>
        <v>6151092.0100000007</v>
      </c>
      <c r="C11" s="23">
        <v>197637.48</v>
      </c>
      <c r="D11" s="23">
        <v>207123.23</v>
      </c>
      <c r="E11" s="23">
        <v>181354.71</v>
      </c>
      <c r="F11" s="23">
        <v>206344.89</v>
      </c>
      <c r="G11" s="23">
        <v>182764.59</v>
      </c>
      <c r="H11" s="23">
        <v>202555.78</v>
      </c>
      <c r="I11" s="23">
        <v>191141.39</v>
      </c>
      <c r="J11" s="23">
        <v>218007.26</v>
      </c>
      <c r="K11" s="23">
        <v>229367.46</v>
      </c>
      <c r="L11" s="23">
        <v>210940.31</v>
      </c>
      <c r="M11" s="23">
        <v>243363.98</v>
      </c>
      <c r="N11" s="23">
        <v>243389.28</v>
      </c>
      <c r="O11" s="23">
        <v>232079.48</v>
      </c>
      <c r="P11" s="23">
        <v>234713.58</v>
      </c>
      <c r="Q11" s="23">
        <v>227513.58</v>
      </c>
      <c r="R11" s="23">
        <v>230269.86</v>
      </c>
      <c r="S11" s="23">
        <v>232801.25</v>
      </c>
      <c r="T11" s="23">
        <v>251119.59</v>
      </c>
      <c r="U11" s="23">
        <v>213434.6</v>
      </c>
      <c r="V11" s="23">
        <v>216874.76</v>
      </c>
      <c r="W11" s="23">
        <v>212274.16</v>
      </c>
      <c r="X11" s="23">
        <v>236374.39999999999</v>
      </c>
      <c r="Y11" s="23">
        <v>247313.66</v>
      </c>
      <c r="Z11" s="23">
        <v>237473.5</v>
      </c>
      <c r="AA11" s="23">
        <v>218443.5</v>
      </c>
      <c r="AB11" s="23">
        <v>210339.07</v>
      </c>
      <c r="AC11" s="23">
        <v>199201.34</v>
      </c>
      <c r="AD11" s="23">
        <v>236875.32</v>
      </c>
      <c r="AE11" s="23"/>
      <c r="AF11" s="23"/>
      <c r="AG11" s="23"/>
    </row>
    <row r="12" spans="1:33">
      <c r="A12" s="4" t="s">
        <v>9</v>
      </c>
      <c r="B12" s="23">
        <f>SUM(C12:AG12)</f>
        <v>307454</v>
      </c>
      <c r="C12" s="23">
        <f>1625+20+8400</f>
        <v>10045</v>
      </c>
      <c r="D12" s="23">
        <f>915+119+8500</f>
        <v>9534</v>
      </c>
      <c r="E12" s="23">
        <f>1350+120+6600</f>
        <v>8070</v>
      </c>
      <c r="F12" s="23">
        <f>1200+8000</f>
        <v>9200</v>
      </c>
      <c r="G12" s="23">
        <f>2441+20+8300</f>
        <v>10761</v>
      </c>
      <c r="H12" s="23">
        <f>1201+9600</f>
        <v>10801</v>
      </c>
      <c r="I12" s="23">
        <f>2323+293+9400</f>
        <v>12016</v>
      </c>
      <c r="J12" s="23">
        <f>1900+149+9900</f>
        <v>11949</v>
      </c>
      <c r="K12" s="23">
        <f>1232+10200</f>
        <v>11432</v>
      </c>
      <c r="L12" s="23">
        <f>1276+59+9700</f>
        <v>11035</v>
      </c>
      <c r="M12" s="23">
        <f>1004+10500</f>
        <v>11504</v>
      </c>
      <c r="N12" s="23">
        <f>2031+34+10900</f>
        <v>12965</v>
      </c>
      <c r="O12" s="23">
        <f>1599+10600</f>
        <v>12199</v>
      </c>
      <c r="P12" s="23">
        <f>1540+108+9700</f>
        <v>11348</v>
      </c>
      <c r="Q12" s="23">
        <f>1500+59+9500</f>
        <v>11059</v>
      </c>
      <c r="R12" s="23">
        <f>3138+437+9600</f>
        <v>13175</v>
      </c>
      <c r="S12" s="23">
        <f>1934+109+9600</f>
        <v>11643</v>
      </c>
      <c r="T12" s="23">
        <f>970+20+9500</f>
        <v>10490</v>
      </c>
      <c r="U12" s="23">
        <f>2240+89+9400</f>
        <v>11729</v>
      </c>
      <c r="V12" s="23">
        <f>1405+9300</f>
        <v>10705</v>
      </c>
      <c r="W12" s="23">
        <f>869+79+8200</f>
        <v>9148</v>
      </c>
      <c r="X12" s="23">
        <f>1320+99+9100</f>
        <v>10519</v>
      </c>
      <c r="Y12" s="23">
        <f>1580+79+10200</f>
        <v>11859</v>
      </c>
      <c r="Z12" s="23">
        <f>340+59+10100</f>
        <v>10499</v>
      </c>
      <c r="AA12" s="23">
        <f>895+8600</f>
        <v>9495</v>
      </c>
      <c r="AB12" s="23">
        <f>929+8100</f>
        <v>9029</v>
      </c>
      <c r="AC12" s="23">
        <f>1108+39+9100</f>
        <v>10247</v>
      </c>
      <c r="AD12" s="23">
        <f>2534+764+11700</f>
        <v>14998</v>
      </c>
      <c r="AE12" s="23"/>
      <c r="AF12" s="23"/>
      <c r="AG12" s="23"/>
    </row>
    <row r="13" spans="1:33">
      <c r="A13" s="8" t="s">
        <v>10</v>
      </c>
      <c r="B13" s="23">
        <f>SUM(C13:AG13)</f>
        <v>167249.00000000003</v>
      </c>
      <c r="C13" s="24">
        <f>212539.48-C12-C11</f>
        <v>4857</v>
      </c>
      <c r="D13" s="24">
        <f>224157.23-D12-D11</f>
        <v>7500</v>
      </c>
      <c r="E13" s="24">
        <f>200129.71-E12-E11</f>
        <v>10705</v>
      </c>
      <c r="F13" s="24">
        <f>214679.89-F12-F11</f>
        <v>-865</v>
      </c>
      <c r="G13" s="24">
        <f>199460.59-G12-G11</f>
        <v>5935</v>
      </c>
      <c r="H13" s="24">
        <f>220791.78-H12-H11</f>
        <v>7435</v>
      </c>
      <c r="I13" s="24">
        <f>210435.39-I12-I11</f>
        <v>7278</v>
      </c>
      <c r="J13" s="24">
        <f>232661.26-J12-J11</f>
        <v>2705</v>
      </c>
      <c r="K13" s="23">
        <f>246904.46-K12-K11</f>
        <v>6105</v>
      </c>
      <c r="L13" s="23">
        <f>229411.31-L12-L11</f>
        <v>7436</v>
      </c>
      <c r="M13" s="23">
        <f>257937.98-M12-M11</f>
        <v>3070</v>
      </c>
      <c r="N13" s="23">
        <f>265437.28-N12-N11</f>
        <v>9083.0000000000291</v>
      </c>
      <c r="O13" s="23">
        <f>251648.48-O12-O11</f>
        <v>7370</v>
      </c>
      <c r="P13" s="23">
        <f>251901.58-P12-P11</f>
        <v>5840</v>
      </c>
      <c r="Q13" s="23">
        <f>243232.58-Q12-Q11</f>
        <v>4660</v>
      </c>
      <c r="R13" s="23">
        <f>248204.86-R12-R11</f>
        <v>4760</v>
      </c>
      <c r="S13" s="23">
        <f>252139.25-S12-S11</f>
        <v>7695</v>
      </c>
      <c r="T13" s="23">
        <f>263614.59-T12-T11</f>
        <v>2005.0000000000291</v>
      </c>
      <c r="U13" s="23">
        <f>231653.6-U12-U11</f>
        <v>6490</v>
      </c>
      <c r="V13" s="23">
        <f>230819.76-V12-V11</f>
        <v>3240</v>
      </c>
      <c r="W13" s="23">
        <f>230277.16-W12-W11</f>
        <v>8855</v>
      </c>
      <c r="X13" s="23">
        <f>249948.4-X11-X12</f>
        <v>3055</v>
      </c>
      <c r="Y13" s="23">
        <f>274017.66-Y12-Y11</f>
        <v>14844.999999999971</v>
      </c>
      <c r="Z13" s="23">
        <f>255962.5-Z11-Z12</f>
        <v>7990</v>
      </c>
      <c r="AA13" s="23">
        <f>232723.5-AA11-AA12</f>
        <v>4785</v>
      </c>
      <c r="AB13" s="23">
        <f>221633.07-AB12-AB11</f>
        <v>2265</v>
      </c>
      <c r="AC13" s="23">
        <f>212203.34-AC11-AC12</f>
        <v>2755</v>
      </c>
      <c r="AD13" s="23">
        <f>261268.32-AD11-AD12</f>
        <v>9395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6625795.0100000007</v>
      </c>
      <c r="C14" s="18">
        <f>SUM(C11:C13)</f>
        <v>212539.48</v>
      </c>
      <c r="D14" s="18">
        <f t="shared" ref="D14:AD14" si="6">SUM(D11:D13)</f>
        <v>224157.23</v>
      </c>
      <c r="E14" s="18">
        <f t="shared" si="6"/>
        <v>200129.71</v>
      </c>
      <c r="F14" s="18">
        <f t="shared" si="6"/>
        <v>214679.89</v>
      </c>
      <c r="G14" s="18">
        <f t="shared" si="6"/>
        <v>199460.59</v>
      </c>
      <c r="H14" s="18">
        <f t="shared" si="6"/>
        <v>220791.78</v>
      </c>
      <c r="I14" s="18">
        <f t="shared" si="6"/>
        <v>210435.39</v>
      </c>
      <c r="J14" s="18">
        <f t="shared" si="6"/>
        <v>232661.26</v>
      </c>
      <c r="K14" s="18">
        <f t="shared" si="6"/>
        <v>246904.46</v>
      </c>
      <c r="L14" s="18">
        <f t="shared" si="6"/>
        <v>229411.31</v>
      </c>
      <c r="M14" s="18">
        <f t="shared" si="6"/>
        <v>257937.98</v>
      </c>
      <c r="N14" s="18">
        <f t="shared" si="6"/>
        <v>265437.28000000003</v>
      </c>
      <c r="O14" s="18">
        <f t="shared" si="6"/>
        <v>251648.48</v>
      </c>
      <c r="P14" s="18">
        <f t="shared" si="6"/>
        <v>251901.58</v>
      </c>
      <c r="Q14" s="18">
        <f t="shared" si="6"/>
        <v>243232.58</v>
      </c>
      <c r="R14" s="18">
        <f t="shared" si="6"/>
        <v>248204.86</v>
      </c>
      <c r="S14" s="18">
        <f t="shared" si="6"/>
        <v>252139.25</v>
      </c>
      <c r="T14" s="18">
        <f t="shared" si="6"/>
        <v>263614.59000000003</v>
      </c>
      <c r="U14" s="18">
        <f t="shared" si="6"/>
        <v>231653.6</v>
      </c>
      <c r="V14" s="18">
        <f t="shared" si="6"/>
        <v>230819.76</v>
      </c>
      <c r="W14" s="18">
        <f t="shared" si="6"/>
        <v>230277.16</v>
      </c>
      <c r="X14" s="18">
        <f t="shared" si="6"/>
        <v>249948.4</v>
      </c>
      <c r="Y14" s="18">
        <f t="shared" si="6"/>
        <v>274017.65999999997</v>
      </c>
      <c r="Z14" s="18">
        <f t="shared" si="6"/>
        <v>255962.5</v>
      </c>
      <c r="AA14" s="18">
        <f t="shared" si="6"/>
        <v>232723.5</v>
      </c>
      <c r="AB14" s="18">
        <f t="shared" si="6"/>
        <v>221633.07</v>
      </c>
      <c r="AC14" s="18">
        <f t="shared" si="6"/>
        <v>212203.34</v>
      </c>
      <c r="AD14" s="18">
        <f t="shared" si="6"/>
        <v>261268.32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7">SUM(C15:AG15)</f>
        <v>1618003</v>
      </c>
      <c r="C15" s="23">
        <f>4169+17000</f>
        <v>21169</v>
      </c>
      <c r="D15" s="23">
        <f>36095+11000</f>
        <v>47095</v>
      </c>
      <c r="E15" s="23">
        <f>50660+184100-7000</f>
        <v>227760</v>
      </c>
      <c r="F15" s="23">
        <f>5510+23400-4990</f>
        <v>23920</v>
      </c>
      <c r="G15" s="23">
        <f>12806+95800</f>
        <v>108606</v>
      </c>
      <c r="H15" s="23">
        <f>63270+4200-1500</f>
        <v>65970</v>
      </c>
      <c r="I15" s="23">
        <f>11492+4100-11000</f>
        <v>4592</v>
      </c>
      <c r="J15" s="23">
        <f>22699+28800</f>
        <v>51499</v>
      </c>
      <c r="K15" s="23">
        <f>70265+3000-2400</f>
        <v>70865</v>
      </c>
      <c r="L15" s="23">
        <f>40415+4800-1000-5000</f>
        <v>39215</v>
      </c>
      <c r="M15" s="23">
        <f>10994+17400-1000-2500</f>
        <v>24894</v>
      </c>
      <c r="N15" s="23">
        <f>61610+3900-25950</f>
        <v>39560</v>
      </c>
      <c r="O15" s="23">
        <f>8344+12300-2000</f>
        <v>18644</v>
      </c>
      <c r="P15" s="23">
        <f>62937+10500-1000</f>
        <v>72437</v>
      </c>
      <c r="Q15" s="23">
        <f>8704+32000</f>
        <v>40704</v>
      </c>
      <c r="R15" s="23">
        <f>7785+5600-2000</f>
        <v>11385</v>
      </c>
      <c r="S15" s="23">
        <f>38943+1000</f>
        <v>39943</v>
      </c>
      <c r="T15" s="23">
        <f>1310+2900-1000-1000</f>
        <v>2210</v>
      </c>
      <c r="U15" s="23">
        <f>60544+6400</f>
        <v>66944</v>
      </c>
      <c r="V15" s="23">
        <f>73690+2000-500</f>
        <v>75190</v>
      </c>
      <c r="W15" s="23">
        <f>56364+23300</f>
        <v>79664</v>
      </c>
      <c r="X15" s="23">
        <f>25324+24750-3975</f>
        <v>46099</v>
      </c>
      <c r="Y15" s="23">
        <f>15044+9750-9600</f>
        <v>15194</v>
      </c>
      <c r="Z15" s="23">
        <f>116940+26600-3716</f>
        <v>139824</v>
      </c>
      <c r="AA15" s="23">
        <f>142050+6000-500</f>
        <v>147550</v>
      </c>
      <c r="AB15" s="23">
        <f>34174+14400-13600</f>
        <v>34974</v>
      </c>
      <c r="AC15" s="23">
        <f>3832+13600</f>
        <v>17432</v>
      </c>
      <c r="AD15" s="23">
        <f>10864+73800</f>
        <v>84664</v>
      </c>
      <c r="AE15" s="23"/>
      <c r="AF15" s="23"/>
      <c r="AG15" s="23"/>
    </row>
    <row r="16" spans="1:33">
      <c r="A16" s="16" t="s">
        <v>16</v>
      </c>
      <c r="B16" s="23">
        <f t="shared" si="7"/>
        <v>3695714.040000001</v>
      </c>
      <c r="C16" s="23">
        <f>23297+12000</f>
        <v>35297</v>
      </c>
      <c r="D16" s="23">
        <f>161975+14801.35+46531.29+51500</f>
        <v>274807.64</v>
      </c>
      <c r="E16" s="23">
        <f>59200+28340.64+22600</f>
        <v>110140.64</v>
      </c>
      <c r="F16" s="23">
        <f>88560+22750</f>
        <v>111310</v>
      </c>
      <c r="G16" s="23">
        <f>14890+76963.3+14000</f>
        <v>105853.3</v>
      </c>
      <c r="H16" s="23">
        <f>45850+41200+3000</f>
        <v>90050</v>
      </c>
      <c r="I16" s="23">
        <f>121000+152040+53000</f>
        <v>326040</v>
      </c>
      <c r="J16" s="23">
        <f>16200+62163.36+16200</f>
        <v>94563.36</v>
      </c>
      <c r="K16" s="23">
        <f>21000+28521.08+10000+7800</f>
        <v>67321.08</v>
      </c>
      <c r="L16" s="23">
        <f>34800+47997.6+59599.4</f>
        <v>142397</v>
      </c>
      <c r="M16" s="23">
        <f>68300+26000+20300+14800</f>
        <v>129400</v>
      </c>
      <c r="N16" s="23">
        <f>239693+59440+7800+11999.4</f>
        <v>318932.40000000002</v>
      </c>
      <c r="O16" s="23">
        <f>149350+18080.04+45600+14000</f>
        <v>227030.04</v>
      </c>
      <c r="P16" s="23">
        <f>45000+66500+4000+30000</f>
        <v>145500</v>
      </c>
      <c r="Q16" s="23">
        <f>84000+17100+14800+46300</f>
        <v>162200</v>
      </c>
      <c r="R16" s="23">
        <f>26318.59+7400</f>
        <v>33718.589999999997</v>
      </c>
      <c r="S16" s="23">
        <f>1410+8600</f>
        <v>10010</v>
      </c>
      <c r="T16" s="23">
        <f>5000+63660+2000+30400</f>
        <v>101060</v>
      </c>
      <c r="U16" s="23">
        <f>45200+10000+23100</f>
        <v>78300</v>
      </c>
      <c r="V16" s="23">
        <f>2200+20000+12200</f>
        <v>34400</v>
      </c>
      <c r="W16" s="23">
        <f>22200+69126.24+9600</f>
        <v>100926.24</v>
      </c>
      <c r="X16" s="23">
        <f>33602.7+14000+6600</f>
        <v>54202.7</v>
      </c>
      <c r="Y16" s="23">
        <f>128830+4480+3510+11800+42800+70200</f>
        <v>261620</v>
      </c>
      <c r="Z16" s="23">
        <f>4540.16+17000+3900</f>
        <v>25440.16</v>
      </c>
      <c r="AA16" s="23">
        <f>115575+49200+48000</f>
        <v>212775</v>
      </c>
      <c r="AB16" s="23">
        <f>100800+7800+44600</f>
        <v>153200</v>
      </c>
      <c r="AC16" s="23">
        <f>104250.09+2000+8403.8</f>
        <v>114653.89</v>
      </c>
      <c r="AD16" s="23">
        <f>2850+16300+42000+17550+95865</f>
        <v>174565</v>
      </c>
      <c r="AE16" s="23"/>
      <c r="AF16" s="23"/>
      <c r="AG16" s="23"/>
    </row>
    <row r="17" spans="1:33">
      <c r="A17" s="16" t="s">
        <v>17</v>
      </c>
      <c r="B17" s="23">
        <f t="shared" si="7"/>
        <v>1923598</v>
      </c>
      <c r="C17" s="23">
        <v>62400</v>
      </c>
      <c r="D17" s="23"/>
      <c r="E17" s="23"/>
      <c r="F17" s="23"/>
      <c r="G17" s="23">
        <v>42000</v>
      </c>
      <c r="H17" s="23"/>
      <c r="I17" s="23">
        <v>30598</v>
      </c>
      <c r="J17" s="23">
        <v>52000</v>
      </c>
      <c r="K17" s="23"/>
      <c r="L17" s="23"/>
      <c r="M17" s="23">
        <v>12000</v>
      </c>
      <c r="N17" s="23">
        <v>14000</v>
      </c>
      <c r="O17" s="23"/>
      <c r="P17" s="23">
        <v>56200</v>
      </c>
      <c r="Q17" s="23"/>
      <c r="R17" s="23"/>
      <c r="S17" s="23"/>
      <c r="T17" s="23"/>
      <c r="U17" s="23">
        <v>12800</v>
      </c>
      <c r="V17" s="23">
        <v>1584800</v>
      </c>
      <c r="W17" s="23">
        <v>23200</v>
      </c>
      <c r="X17" s="23"/>
      <c r="Y17" s="23"/>
      <c r="Z17" s="23"/>
      <c r="AA17" s="23"/>
      <c r="AB17" s="23"/>
      <c r="AC17" s="23">
        <v>33600</v>
      </c>
      <c r="AD17" s="23"/>
      <c r="AE17" s="23"/>
      <c r="AF17" s="23"/>
      <c r="AG17" s="23"/>
    </row>
    <row r="18" spans="1:33">
      <c r="A18" s="16" t="s">
        <v>18</v>
      </c>
      <c r="B18" s="23">
        <f t="shared" si="7"/>
        <v>437564</v>
      </c>
      <c r="C18" s="23">
        <v>16555</v>
      </c>
      <c r="D18" s="23">
        <v>75874</v>
      </c>
      <c r="E18" s="23"/>
      <c r="F18" s="23"/>
      <c r="G18" s="23"/>
      <c r="H18" s="23">
        <v>46725</v>
      </c>
      <c r="I18" s="23"/>
      <c r="J18" s="23"/>
      <c r="K18" s="23"/>
      <c r="L18" s="23"/>
      <c r="M18" s="23">
        <v>36470</v>
      </c>
      <c r="N18" s="23"/>
      <c r="O18" s="23"/>
      <c r="P18" s="23">
        <v>23390</v>
      </c>
      <c r="Q18" s="23">
        <v>21385</v>
      </c>
      <c r="R18" s="23">
        <v>39830</v>
      </c>
      <c r="S18" s="23"/>
      <c r="T18" s="23">
        <v>65340</v>
      </c>
      <c r="U18" s="23"/>
      <c r="V18" s="23"/>
      <c r="W18" s="23"/>
      <c r="X18" s="23">
        <v>66220</v>
      </c>
      <c r="Y18" s="23"/>
      <c r="Z18" s="23">
        <v>11000</v>
      </c>
      <c r="AA18" s="23">
        <v>22400</v>
      </c>
      <c r="AB18" s="23">
        <v>12375</v>
      </c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213645</v>
      </c>
      <c r="C19" s="23"/>
      <c r="D19" s="23">
        <v>8400</v>
      </c>
      <c r="E19" s="23"/>
      <c r="F19" s="23"/>
      <c r="G19" s="23"/>
      <c r="H19" s="23"/>
      <c r="I19" s="23"/>
      <c r="J19" s="23">
        <v>21000</v>
      </c>
      <c r="K19" s="23"/>
      <c r="L19" s="23"/>
      <c r="M19" s="23">
        <v>2500</v>
      </c>
      <c r="N19" s="23">
        <v>11100</v>
      </c>
      <c r="O19" s="23">
        <v>9600</v>
      </c>
      <c r="P19" s="23"/>
      <c r="Q19" s="23"/>
      <c r="R19" s="23"/>
      <c r="S19" s="23"/>
      <c r="T19" s="23"/>
      <c r="U19" s="23"/>
      <c r="V19" s="23"/>
      <c r="W19" s="23"/>
      <c r="X19" s="23"/>
      <c r="Y19" s="23">
        <v>37044</v>
      </c>
      <c r="Z19" s="23">
        <v>78101</v>
      </c>
      <c r="AA19" s="23"/>
      <c r="AB19" s="23">
        <v>25900</v>
      </c>
      <c r="AC19" s="23">
        <v>20000</v>
      </c>
      <c r="AD19" s="23"/>
      <c r="AE19" s="23"/>
      <c r="AF19" s="23"/>
      <c r="AG19" s="23"/>
    </row>
    <row r="20" spans="1:33">
      <c r="A20" s="16" t="s">
        <v>20</v>
      </c>
      <c r="B20" s="23">
        <f t="shared" si="7"/>
        <v>69210.63</v>
      </c>
      <c r="C20" s="23"/>
      <c r="D20" s="23">
        <v>1573.33</v>
      </c>
      <c r="E20" s="23">
        <v>9626.68</v>
      </c>
      <c r="F20" s="23"/>
      <c r="G20" s="23"/>
      <c r="H20" s="23"/>
      <c r="I20" s="23">
        <v>4719.99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>
        <v>7126.66</v>
      </c>
      <c r="U20" s="23">
        <v>14159.97</v>
      </c>
      <c r="V20" s="23"/>
      <c r="W20" s="23">
        <v>32004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43850</v>
      </c>
      <c r="C21" s="23"/>
      <c r="D21" s="23"/>
      <c r="E21" s="23"/>
      <c r="F21" s="23"/>
      <c r="G21" s="23"/>
      <c r="H21" s="23"/>
      <c r="I21" s="23"/>
      <c r="J21" s="23"/>
      <c r="K21" s="23"/>
      <c r="L21" s="23">
        <v>20160</v>
      </c>
      <c r="M21" s="23"/>
      <c r="N21" s="23">
        <v>15120</v>
      </c>
      <c r="O21" s="23"/>
      <c r="P21" s="23"/>
      <c r="Q21" s="23"/>
      <c r="R21" s="23"/>
      <c r="S21" s="23">
        <v>2900</v>
      </c>
      <c r="T21" s="23"/>
      <c r="U21" s="23"/>
      <c r="V21" s="23"/>
      <c r="W21" s="23"/>
      <c r="X21" s="23"/>
      <c r="Y21" s="23"/>
      <c r="Z21" s="23"/>
      <c r="AA21" s="23">
        <v>5670</v>
      </c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-104899</v>
      </c>
      <c r="C23" s="24">
        <f>-63400+2000</f>
        <v>-61400</v>
      </c>
      <c r="D23" s="24">
        <f>-10400+3000</f>
        <v>-7400</v>
      </c>
      <c r="E23" s="24">
        <f>-5000+5000</f>
        <v>0</v>
      </c>
      <c r="F23" s="24">
        <f>62400</f>
        <v>62400</v>
      </c>
      <c r="G23" s="24">
        <f>-73800+22500</f>
        <v>-51300</v>
      </c>
      <c r="H23" s="24">
        <f>-44200+12800</f>
        <v>-31400</v>
      </c>
      <c r="I23" s="24">
        <f>-5000+62700</f>
        <v>57700</v>
      </c>
      <c r="J23" s="23">
        <f>-106800+83200</f>
        <v>-23600</v>
      </c>
      <c r="K23" s="24">
        <f>-10000+16000</f>
        <v>6000</v>
      </c>
      <c r="L23" s="24">
        <f>5000+34800</f>
        <v>39800</v>
      </c>
      <c r="M23" s="24">
        <f>-6500+21400</f>
        <v>14900</v>
      </c>
      <c r="N23" s="24">
        <f>-30700+35000</f>
        <v>4300</v>
      </c>
      <c r="O23" s="24">
        <f>-18700+8000</f>
        <v>-10700</v>
      </c>
      <c r="P23" s="24">
        <f>-31700+8100</f>
        <v>-23600</v>
      </c>
      <c r="Q23" s="24">
        <f>-38000+80050</f>
        <v>42050</v>
      </c>
      <c r="R23" s="24">
        <v>17800</v>
      </c>
      <c r="S23" s="24">
        <f>-1000+11600</f>
        <v>10600</v>
      </c>
      <c r="T23" s="24">
        <f>-2000+39000</f>
        <v>37000</v>
      </c>
      <c r="U23" s="24">
        <v>-12800</v>
      </c>
      <c r="V23" s="24">
        <v>-2000</v>
      </c>
      <c r="W23" s="24">
        <v>-73804</v>
      </c>
      <c r="X23" s="24">
        <f>-10600+14800</f>
        <v>4200</v>
      </c>
      <c r="Y23" s="24">
        <f>-37944+53400</f>
        <v>15456</v>
      </c>
      <c r="Z23" s="24">
        <f>-79101+6400</f>
        <v>-72701</v>
      </c>
      <c r="AA23" s="24">
        <v>-6000</v>
      </c>
      <c r="AB23" s="24">
        <f>-37900+4000</f>
        <v>-33900</v>
      </c>
      <c r="AC23" s="24">
        <f>3600-28600</f>
        <v>-25000</v>
      </c>
      <c r="AD23" s="24">
        <f>-5000+23500</f>
        <v>18500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7896685.6700000009</v>
      </c>
      <c r="C24" s="19">
        <f>SUM(C15:C23)</f>
        <v>74021</v>
      </c>
      <c r="D24" s="19">
        <f t="shared" ref="D24:U24" si="8">SUM(D15:D23)</f>
        <v>400349.97000000003</v>
      </c>
      <c r="E24" s="19">
        <f t="shared" si="8"/>
        <v>347527.32</v>
      </c>
      <c r="F24" s="19">
        <f t="shared" si="8"/>
        <v>197630</v>
      </c>
      <c r="G24" s="19">
        <f t="shared" si="8"/>
        <v>205159.3</v>
      </c>
      <c r="H24" s="19">
        <f t="shared" si="8"/>
        <v>171345</v>
      </c>
      <c r="I24" s="19">
        <f t="shared" si="8"/>
        <v>423649.99</v>
      </c>
      <c r="J24" s="19">
        <f t="shared" si="8"/>
        <v>195462.36</v>
      </c>
      <c r="K24" s="19">
        <f t="shared" si="8"/>
        <v>144186.08000000002</v>
      </c>
      <c r="L24" s="19">
        <f t="shared" si="8"/>
        <v>241572</v>
      </c>
      <c r="M24" s="19">
        <f t="shared" si="8"/>
        <v>220164</v>
      </c>
      <c r="N24" s="19">
        <f t="shared" si="8"/>
        <v>403012.4</v>
      </c>
      <c r="O24" s="19">
        <f t="shared" si="8"/>
        <v>244574.04</v>
      </c>
      <c r="P24" s="19">
        <f t="shared" si="8"/>
        <v>273927</v>
      </c>
      <c r="Q24" s="19">
        <f t="shared" si="8"/>
        <v>266339</v>
      </c>
      <c r="R24" s="19">
        <f t="shared" si="8"/>
        <v>102733.59</v>
      </c>
      <c r="S24" s="19">
        <f t="shared" si="8"/>
        <v>63453</v>
      </c>
      <c r="T24" s="19">
        <f t="shared" si="8"/>
        <v>212736.66</v>
      </c>
      <c r="U24" s="19">
        <f t="shared" si="8"/>
        <v>159403.97</v>
      </c>
      <c r="V24" s="19">
        <f>SUM(V15:V23)</f>
        <v>1692390</v>
      </c>
      <c r="W24" s="19">
        <f t="shared" ref="W24:AD24" si="9">SUM(W15:W23)</f>
        <v>161990.24</v>
      </c>
      <c r="X24" s="19">
        <f t="shared" si="9"/>
        <v>170721.7</v>
      </c>
      <c r="Y24" s="19">
        <f t="shared" si="9"/>
        <v>329314</v>
      </c>
      <c r="Z24" s="19">
        <f t="shared" si="9"/>
        <v>181664.16</v>
      </c>
      <c r="AA24" s="19">
        <f t="shared" si="9"/>
        <v>382395</v>
      </c>
      <c r="AB24" s="19">
        <f t="shared" si="9"/>
        <v>192549</v>
      </c>
      <c r="AC24" s="19">
        <f t="shared" si="9"/>
        <v>160685.89000000001</v>
      </c>
      <c r="AD24" s="19">
        <f t="shared" si="9"/>
        <v>277729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-1270890.6600000001</v>
      </c>
      <c r="C25" s="20">
        <f>C10+C14-C24</f>
        <v>-2154079.06</v>
      </c>
      <c r="D25" s="20">
        <f t="shared" ref="D25:AD25" si="10">D10+D14-D24</f>
        <v>-2330271.8000000003</v>
      </c>
      <c r="E25" s="20">
        <f t="shared" si="10"/>
        <v>-2477669.41</v>
      </c>
      <c r="F25" s="20">
        <f t="shared" si="10"/>
        <v>-2460619.52</v>
      </c>
      <c r="G25" s="20">
        <f t="shared" si="10"/>
        <v>-2466318.23</v>
      </c>
      <c r="H25" s="20">
        <f t="shared" si="10"/>
        <v>-2416871.4500000002</v>
      </c>
      <c r="I25" s="20">
        <f t="shared" si="10"/>
        <v>-2630086.0499999998</v>
      </c>
      <c r="J25" s="20">
        <f t="shared" si="10"/>
        <v>-2592887.15</v>
      </c>
      <c r="K25" s="20">
        <f t="shared" si="10"/>
        <v>-2490168.77</v>
      </c>
      <c r="L25" s="20">
        <f t="shared" si="10"/>
        <v>-2502329.46</v>
      </c>
      <c r="M25" s="20">
        <f t="shared" si="10"/>
        <v>-2464555.48</v>
      </c>
      <c r="N25" s="20">
        <f t="shared" si="10"/>
        <v>-2602130.6</v>
      </c>
      <c r="O25" s="20">
        <f t="shared" si="10"/>
        <v>-2595056.16</v>
      </c>
      <c r="P25" s="20">
        <f t="shared" si="10"/>
        <v>-2617081.58</v>
      </c>
      <c r="Q25" s="20">
        <f t="shared" si="10"/>
        <v>-2640188</v>
      </c>
      <c r="R25" s="20">
        <f t="shared" si="10"/>
        <v>-2494716.73</v>
      </c>
      <c r="S25" s="20">
        <f t="shared" si="10"/>
        <v>-2306030.48</v>
      </c>
      <c r="T25" s="20">
        <f t="shared" si="10"/>
        <v>-2255152.5499999998</v>
      </c>
      <c r="U25" s="20">
        <f t="shared" si="10"/>
        <v>-2182902.92</v>
      </c>
      <c r="V25" s="20">
        <f t="shared" si="10"/>
        <v>-3644473.16</v>
      </c>
      <c r="W25" s="20">
        <f t="shared" si="10"/>
        <v>-3576186.24</v>
      </c>
      <c r="X25" s="20">
        <f t="shared" si="10"/>
        <v>-3496959.5400000005</v>
      </c>
      <c r="Y25" s="20">
        <f t="shared" si="10"/>
        <v>-3552255.8800000004</v>
      </c>
      <c r="Z25" s="20">
        <f t="shared" si="10"/>
        <v>-3477957.5400000005</v>
      </c>
      <c r="AA25" s="20">
        <f t="shared" si="10"/>
        <v>-3627629.0400000005</v>
      </c>
      <c r="AB25" s="20">
        <f t="shared" si="10"/>
        <v>-3598544.9700000007</v>
      </c>
      <c r="AC25" s="20">
        <f t="shared" si="10"/>
        <v>-3547027.5200000009</v>
      </c>
      <c r="AD25" s="20">
        <f t="shared" si="10"/>
        <v>-3563488.2000000011</v>
      </c>
      <c r="AE25" s="20">
        <f>AE10+AE14-AE24</f>
        <v>-3563488.2000000011</v>
      </c>
      <c r="AF25" s="20">
        <f>AF10+AF14-AF24</f>
        <v>-3563488.2000000011</v>
      </c>
      <c r="AG25" s="20">
        <f>AG10+AG14-AG24</f>
        <v>-3563488.2000000011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28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1736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>
        <v>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1736</v>
      </c>
      <c r="C5" s="5">
        <f t="shared" ref="C5:AD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62</v>
      </c>
      <c r="AE5" s="5"/>
      <c r="AF5" s="5"/>
      <c r="AG5" s="5"/>
    </row>
    <row r="6" spans="1:33">
      <c r="A6" s="26" t="s">
        <v>3</v>
      </c>
      <c r="B6" s="34">
        <f>SUM(C6:AG6)</f>
        <v>1598</v>
      </c>
      <c r="C6" s="34">
        <v>59</v>
      </c>
      <c r="D6" s="34">
        <v>61</v>
      </c>
      <c r="E6" s="34">
        <v>54</v>
      </c>
      <c r="F6" s="34">
        <v>51</v>
      </c>
      <c r="G6" s="34">
        <v>58</v>
      </c>
      <c r="H6" s="34">
        <v>57</v>
      </c>
      <c r="I6" s="34">
        <v>52</v>
      </c>
      <c r="J6" s="34">
        <v>62</v>
      </c>
      <c r="K6" s="34">
        <v>60</v>
      </c>
      <c r="L6" s="34">
        <v>60</v>
      </c>
      <c r="M6" s="34">
        <v>60</v>
      </c>
      <c r="N6" s="34">
        <v>59</v>
      </c>
      <c r="O6" s="34">
        <v>61</v>
      </c>
      <c r="P6" s="34">
        <v>62</v>
      </c>
      <c r="Q6" s="34">
        <v>60</v>
      </c>
      <c r="R6" s="34">
        <v>62</v>
      </c>
      <c r="S6" s="34">
        <v>58</v>
      </c>
      <c r="T6" s="34">
        <v>54</v>
      </c>
      <c r="U6" s="34">
        <v>59</v>
      </c>
      <c r="V6" s="34">
        <v>60</v>
      </c>
      <c r="W6" s="34">
        <v>56</v>
      </c>
      <c r="X6" s="34">
        <v>60</v>
      </c>
      <c r="Y6" s="34">
        <v>61</v>
      </c>
      <c r="Z6" s="34">
        <v>58</v>
      </c>
      <c r="AA6" s="34">
        <v>56</v>
      </c>
      <c r="AB6" s="34">
        <v>50</v>
      </c>
      <c r="AC6" s="34">
        <v>39</v>
      </c>
      <c r="AD6" s="34">
        <v>49</v>
      </c>
      <c r="AE6" s="34"/>
      <c r="AF6" s="34"/>
      <c r="AG6" s="34"/>
    </row>
    <row r="7" spans="1:33">
      <c r="A7" s="4" t="s">
        <v>4</v>
      </c>
      <c r="B7" s="7">
        <f>IF(B6=0,0,B6/B5)</f>
        <v>0.92050691244239635</v>
      </c>
      <c r="C7" s="7">
        <f t="shared" ref="C7:AG7" si="2">IF(C6=0,0,C6/C5)</f>
        <v>0.95161290322580649</v>
      </c>
      <c r="D7" s="7">
        <f t="shared" si="2"/>
        <v>0.9838709677419355</v>
      </c>
      <c r="E7" s="7">
        <f t="shared" si="2"/>
        <v>0.87096774193548387</v>
      </c>
      <c r="F7" s="7">
        <f t="shared" si="2"/>
        <v>0.82258064516129037</v>
      </c>
      <c r="G7" s="7">
        <f t="shared" si="2"/>
        <v>0.93548387096774188</v>
      </c>
      <c r="H7" s="7">
        <f t="shared" si="2"/>
        <v>0.91935483870967738</v>
      </c>
      <c r="I7" s="7">
        <f t="shared" si="2"/>
        <v>0.83870967741935487</v>
      </c>
      <c r="J7" s="7">
        <f t="shared" si="2"/>
        <v>1</v>
      </c>
      <c r="K7" s="7">
        <f t="shared" si="2"/>
        <v>0.967741935483871</v>
      </c>
      <c r="L7" s="7">
        <f t="shared" si="2"/>
        <v>0.967741935483871</v>
      </c>
      <c r="M7" s="7">
        <f t="shared" si="2"/>
        <v>0.967741935483871</v>
      </c>
      <c r="N7" s="7">
        <f t="shared" si="2"/>
        <v>0.95161290322580649</v>
      </c>
      <c r="O7" s="7">
        <f t="shared" si="2"/>
        <v>0.9838709677419355</v>
      </c>
      <c r="P7" s="7">
        <f t="shared" si="2"/>
        <v>1</v>
      </c>
      <c r="Q7" s="7">
        <f t="shared" si="2"/>
        <v>0.967741935483871</v>
      </c>
      <c r="R7" s="7">
        <f t="shared" si="2"/>
        <v>1</v>
      </c>
      <c r="S7" s="7">
        <f t="shared" si="2"/>
        <v>0.93548387096774188</v>
      </c>
      <c r="T7" s="7">
        <f t="shared" si="2"/>
        <v>0.87096774193548387</v>
      </c>
      <c r="U7" s="7">
        <f t="shared" si="2"/>
        <v>0.95161290322580649</v>
      </c>
      <c r="V7" s="7">
        <f t="shared" si="2"/>
        <v>0.967741935483871</v>
      </c>
      <c r="W7" s="7">
        <f t="shared" si="2"/>
        <v>0.90322580645161288</v>
      </c>
      <c r="X7" s="7">
        <f t="shared" si="2"/>
        <v>0.967741935483871</v>
      </c>
      <c r="Y7" s="7">
        <f t="shared" si="2"/>
        <v>0.9838709677419355</v>
      </c>
      <c r="Z7" s="7">
        <f t="shared" si="2"/>
        <v>0.93548387096774188</v>
      </c>
      <c r="AA7" s="7">
        <f t="shared" si="2"/>
        <v>0.90322580645161288</v>
      </c>
      <c r="AB7" s="7">
        <f t="shared" si="2"/>
        <v>0.80645161290322576</v>
      </c>
      <c r="AC7" s="7">
        <f t="shared" si="2"/>
        <v>0.62903225806451613</v>
      </c>
      <c r="AD7" s="7">
        <f t="shared" si="2"/>
        <v>0.79032258064516125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2604.9472966207759</v>
      </c>
      <c r="C8" s="6">
        <f>IF(C6=0,0,C11/C6)</f>
        <v>2631.148305084746</v>
      </c>
      <c r="D8" s="6">
        <v>2579.79</v>
      </c>
      <c r="E8" s="6">
        <v>2704.76</v>
      </c>
      <c r="F8" s="6">
        <v>2676.22</v>
      </c>
      <c r="G8" s="6">
        <v>2464.91</v>
      </c>
      <c r="H8" s="6">
        <v>2595.9499999999998</v>
      </c>
      <c r="I8" s="6">
        <v>2491.5100000000002</v>
      </c>
      <c r="J8" s="6">
        <v>2605.62</v>
      </c>
      <c r="K8" s="6">
        <v>2469.16</v>
      </c>
      <c r="L8" s="6">
        <v>2511.9299999999998</v>
      </c>
      <c r="M8" s="6">
        <v>2700.44</v>
      </c>
      <c r="N8" s="6">
        <v>2583.58</v>
      </c>
      <c r="O8" s="6">
        <v>2627.58</v>
      </c>
      <c r="P8" s="6">
        <v>2494.9499999999998</v>
      </c>
      <c r="Q8" s="6">
        <v>2387.31</v>
      </c>
      <c r="R8" s="6">
        <v>2526.25</v>
      </c>
      <c r="S8" s="6">
        <v>2497.9699999999998</v>
      </c>
      <c r="T8" s="6">
        <v>2531.31</v>
      </c>
      <c r="U8" s="6">
        <v>2354.4</v>
      </c>
      <c r="V8" s="6">
        <v>2609.5300000000002</v>
      </c>
      <c r="W8" s="6">
        <v>2419.92</v>
      </c>
      <c r="X8" s="6">
        <v>2379.09</v>
      </c>
      <c r="Y8" s="6">
        <v>2546.11</v>
      </c>
      <c r="Z8" s="6">
        <v>2768.4</v>
      </c>
      <c r="AA8" s="6">
        <v>2810.81</v>
      </c>
      <c r="AB8" s="6">
        <v>3332.89</v>
      </c>
      <c r="AC8" s="6">
        <v>2972.06</v>
      </c>
      <c r="AD8" s="6">
        <v>2983.7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2397.8719930875577</v>
      </c>
      <c r="C9" s="6">
        <f t="shared" ref="C9:AG9" si="3">IF(C11=0,0,C11/C3)</f>
        <v>2503.8346774193546</v>
      </c>
      <c r="D9" s="6">
        <f t="shared" si="3"/>
        <v>2538.1848387096775</v>
      </c>
      <c r="E9" s="6">
        <f t="shared" si="3"/>
        <v>2355.7596774193548</v>
      </c>
      <c r="F9" s="6">
        <f t="shared" si="3"/>
        <v>2201.4095161290325</v>
      </c>
      <c r="G9" s="6">
        <f t="shared" si="3"/>
        <v>2305.8814516129032</v>
      </c>
      <c r="H9" s="6">
        <f t="shared" si="3"/>
        <v>2386.5998387096774</v>
      </c>
      <c r="I9" s="6">
        <f t="shared" si="3"/>
        <v>2089.6524193548385</v>
      </c>
      <c r="J9" s="6">
        <f t="shared" si="3"/>
        <v>2605.6191935483871</v>
      </c>
      <c r="K9" s="6">
        <f t="shared" si="3"/>
        <v>2389.5070967741935</v>
      </c>
      <c r="L9" s="6">
        <f t="shared" si="3"/>
        <v>2430.9037096774196</v>
      </c>
      <c r="M9" s="6">
        <f t="shared" si="3"/>
        <v>2613.3272580645162</v>
      </c>
      <c r="N9" s="6">
        <f t="shared" si="3"/>
        <v>2458.5659677419353</v>
      </c>
      <c r="O9" s="6">
        <f t="shared" si="3"/>
        <v>2585.1990322580646</v>
      </c>
      <c r="P9" s="6">
        <f t="shared" si="3"/>
        <v>2494.9516129032259</v>
      </c>
      <c r="Q9" s="6">
        <f t="shared" si="3"/>
        <v>2310.2977419354838</v>
      </c>
      <c r="R9" s="6">
        <f t="shared" si="3"/>
        <v>2526.2506451612903</v>
      </c>
      <c r="S9" s="6">
        <f t="shared" si="3"/>
        <v>2336.8138709677419</v>
      </c>
      <c r="T9" s="6">
        <f t="shared" si="3"/>
        <v>2204.6862903225806</v>
      </c>
      <c r="U9" s="6">
        <f t="shared" si="3"/>
        <v>2240.4812903225807</v>
      </c>
      <c r="V9" s="6">
        <f t="shared" si="3"/>
        <v>2525.3554838709679</v>
      </c>
      <c r="W9" s="6">
        <f t="shared" si="3"/>
        <v>2185.7320967741939</v>
      </c>
      <c r="X9" s="6">
        <f t="shared" si="3"/>
        <v>2302.3493548387096</v>
      </c>
      <c r="Y9" s="6">
        <f t="shared" si="3"/>
        <v>2505.0408064516128</v>
      </c>
      <c r="Z9" s="6">
        <f t="shared" si="3"/>
        <v>2589.7929032258066</v>
      </c>
      <c r="AA9" s="6">
        <f t="shared" si="3"/>
        <v>2538.7954838709679</v>
      </c>
      <c r="AB9" s="6">
        <f t="shared" si="3"/>
        <v>2687.8170967741935</v>
      </c>
      <c r="AC9" s="6">
        <f t="shared" si="3"/>
        <v>1869.5243548387095</v>
      </c>
      <c r="AD9" s="6">
        <f t="shared" si="3"/>
        <v>2358.0820967741934</v>
      </c>
      <c r="AE9" s="6">
        <f t="shared" si="3"/>
        <v>0</v>
      </c>
      <c r="AF9" s="6">
        <f t="shared" si="3"/>
        <v>0</v>
      </c>
      <c r="AG9" s="6">
        <f t="shared" si="3"/>
        <v>0</v>
      </c>
    </row>
    <row r="10" spans="1:33" ht="20.100000000000001" customHeight="1">
      <c r="A10" s="21" t="s">
        <v>23</v>
      </c>
      <c r="B10" s="29"/>
      <c r="C10" s="29">
        <v>-24937.06</v>
      </c>
      <c r="D10" s="29">
        <f>C25</f>
        <v>133691.53</v>
      </c>
      <c r="E10" s="29">
        <f t="shared" ref="E10:AG10" si="4">D25</f>
        <v>228862.75</v>
      </c>
      <c r="F10" s="29">
        <f t="shared" si="4"/>
        <v>273738.05</v>
      </c>
      <c r="G10" s="29">
        <f t="shared" si="4"/>
        <v>190071.12</v>
      </c>
      <c r="H10" s="29">
        <f t="shared" si="4"/>
        <v>30160.229999999981</v>
      </c>
      <c r="I10" s="29">
        <f t="shared" si="4"/>
        <v>82891.479999999981</v>
      </c>
      <c r="J10" s="29">
        <f t="shared" si="4"/>
        <v>132175.44999999998</v>
      </c>
      <c r="K10" s="29">
        <f t="shared" si="4"/>
        <v>162176.43999999997</v>
      </c>
      <c r="L10" s="29">
        <f t="shared" si="4"/>
        <v>64896.840000000026</v>
      </c>
      <c r="M10" s="29">
        <f t="shared" si="4"/>
        <v>38648.74000000002</v>
      </c>
      <c r="N10" s="29">
        <f t="shared" si="4"/>
        <v>4542.2200000000303</v>
      </c>
      <c r="O10" s="29">
        <f t="shared" si="4"/>
        <v>-61167.549999999959</v>
      </c>
      <c r="P10" s="29">
        <f t="shared" si="4"/>
        <v>46891.710000000036</v>
      </c>
      <c r="Q10" s="29">
        <f t="shared" si="4"/>
        <v>184696.71000000002</v>
      </c>
      <c r="R10" s="29">
        <f t="shared" si="4"/>
        <v>195679.17000000004</v>
      </c>
      <c r="S10" s="29">
        <f t="shared" si="4"/>
        <v>208831.83000000007</v>
      </c>
      <c r="T10" s="29">
        <f t="shared" si="4"/>
        <v>131647.13000000006</v>
      </c>
      <c r="U10" s="29">
        <f t="shared" si="4"/>
        <v>111713.04000000004</v>
      </c>
      <c r="V10" s="29">
        <f t="shared" si="4"/>
        <v>100474.75000000006</v>
      </c>
      <c r="W10" s="29">
        <f t="shared" si="4"/>
        <v>170819.63000000003</v>
      </c>
      <c r="X10" s="29">
        <f t="shared" si="4"/>
        <v>70436.420000000042</v>
      </c>
      <c r="Y10" s="29">
        <f t="shared" si="4"/>
        <v>-9228.969999999943</v>
      </c>
      <c r="Z10" s="29">
        <f t="shared" si="4"/>
        <v>-78542.639999999956</v>
      </c>
      <c r="AA10" s="29">
        <f t="shared" si="4"/>
        <v>34100.520000000048</v>
      </c>
      <c r="AB10" s="29">
        <f t="shared" si="4"/>
        <v>77622.000000000058</v>
      </c>
      <c r="AC10" s="29">
        <f t="shared" si="4"/>
        <v>72932.480000000069</v>
      </c>
      <c r="AD10" s="29">
        <f t="shared" si="4"/>
        <v>59798.810000000056</v>
      </c>
      <c r="AE10" s="29">
        <f t="shared" si="4"/>
        <v>96909.200000000055</v>
      </c>
      <c r="AF10" s="29">
        <f t="shared" si="4"/>
        <v>96909.200000000055</v>
      </c>
      <c r="AG10" s="29">
        <f t="shared" si="4"/>
        <v>96909.200000000055</v>
      </c>
    </row>
    <row r="11" spans="1:33">
      <c r="A11" s="4" t="s">
        <v>8</v>
      </c>
      <c r="B11" s="23">
        <f>SUM(C11:AG11)</f>
        <v>4162705.78</v>
      </c>
      <c r="C11" s="23">
        <v>155237.75</v>
      </c>
      <c r="D11" s="23">
        <v>157367.46</v>
      </c>
      <c r="E11" s="23">
        <v>146057.1</v>
      </c>
      <c r="F11" s="23">
        <v>136487.39000000001</v>
      </c>
      <c r="G11" s="23">
        <v>142964.65</v>
      </c>
      <c r="H11" s="23">
        <v>147969.19</v>
      </c>
      <c r="I11" s="23">
        <v>129558.45</v>
      </c>
      <c r="J11" s="23">
        <v>161548.39000000001</v>
      </c>
      <c r="K11" s="23">
        <v>148149.44</v>
      </c>
      <c r="L11" s="23">
        <v>150716.03</v>
      </c>
      <c r="M11" s="23">
        <v>162026.29</v>
      </c>
      <c r="N11" s="23">
        <v>152431.09</v>
      </c>
      <c r="O11" s="23">
        <v>160282.34</v>
      </c>
      <c r="P11" s="23">
        <v>154687</v>
      </c>
      <c r="Q11" s="23">
        <v>143238.46</v>
      </c>
      <c r="R11" s="23">
        <v>156627.54</v>
      </c>
      <c r="S11" s="23">
        <v>144882.46</v>
      </c>
      <c r="T11" s="23">
        <v>136690.54999999999</v>
      </c>
      <c r="U11" s="23">
        <v>138909.84</v>
      </c>
      <c r="V11" s="23">
        <v>156572.04</v>
      </c>
      <c r="W11" s="23">
        <v>135515.39000000001</v>
      </c>
      <c r="X11" s="23">
        <v>142745.66</v>
      </c>
      <c r="Y11" s="23">
        <v>155312.53</v>
      </c>
      <c r="Z11" s="23">
        <v>160567.16</v>
      </c>
      <c r="AA11" s="23">
        <v>157405.32</v>
      </c>
      <c r="AB11" s="23">
        <v>166644.66</v>
      </c>
      <c r="AC11" s="23">
        <v>115910.51</v>
      </c>
      <c r="AD11" s="23">
        <v>146201.09</v>
      </c>
      <c r="AE11" s="23"/>
      <c r="AF11" s="23"/>
      <c r="AG11" s="23"/>
    </row>
    <row r="12" spans="1:33">
      <c r="A12" s="4" t="s">
        <v>9</v>
      </c>
      <c r="B12" s="23">
        <f>SUM(C12:AG12)</f>
        <v>470677</v>
      </c>
      <c r="C12" s="23">
        <f>1413+14520+2635</f>
        <v>18568</v>
      </c>
      <c r="D12" s="23">
        <f>2510+910+15000</f>
        <v>18420</v>
      </c>
      <c r="E12" s="23">
        <f>2665+2216+13440</f>
        <v>18321</v>
      </c>
      <c r="F12" s="23">
        <f>3815+2197+12600</f>
        <v>18612</v>
      </c>
      <c r="G12" s="23">
        <f>3910+1751+14160</f>
        <v>19821</v>
      </c>
      <c r="H12" s="23">
        <f>2480+931+13800</f>
        <v>17211</v>
      </c>
      <c r="I12" s="23">
        <f>2360+2148+12600</f>
        <v>17108</v>
      </c>
      <c r="J12" s="23">
        <f>2890+675+15720</f>
        <v>19285</v>
      </c>
      <c r="K12" s="23">
        <f>1990+675+14400</f>
        <v>17065</v>
      </c>
      <c r="L12" s="23">
        <f>2545+731+14280</f>
        <v>17556</v>
      </c>
      <c r="M12" s="23">
        <f>2405+1178+14400</f>
        <v>17983</v>
      </c>
      <c r="N12" s="23">
        <v>15890</v>
      </c>
      <c r="O12" s="23">
        <f>2270+1038+14160</f>
        <v>17468</v>
      </c>
      <c r="P12" s="23">
        <f>1655+460+14640</f>
        <v>16755</v>
      </c>
      <c r="Q12" s="23">
        <f>2275+1245+13920</f>
        <v>17440</v>
      </c>
      <c r="R12" s="23">
        <f>2110+1482+14640</f>
        <v>18232</v>
      </c>
      <c r="S12" s="23">
        <f>1590+1361+13560</f>
        <v>16511</v>
      </c>
      <c r="T12" s="23">
        <f>2860+1197+12480</f>
        <v>16537</v>
      </c>
      <c r="U12" s="23">
        <f>1750+943+13560</f>
        <v>16253</v>
      </c>
      <c r="V12" s="23">
        <f>985+1219+15120</f>
        <v>17324</v>
      </c>
      <c r="W12" s="23">
        <f>2495+473+12840</f>
        <v>15808</v>
      </c>
      <c r="X12" s="23">
        <f>2170+750+13560</f>
        <v>16480</v>
      </c>
      <c r="Y12" s="23">
        <f>1570+658+13800</f>
        <v>16028</v>
      </c>
      <c r="Z12" s="23">
        <f>2290+750+13560</f>
        <v>16600</v>
      </c>
      <c r="AA12" s="23">
        <f>1400+673+60+13080</f>
        <v>15213</v>
      </c>
      <c r="AB12" s="23">
        <f>250+1810+11520</f>
        <v>13580</v>
      </c>
      <c r="AC12" s="23">
        <f>1515+558+9360</f>
        <v>11433</v>
      </c>
      <c r="AD12" s="23">
        <f>1145+150+11880</f>
        <v>13175</v>
      </c>
      <c r="AE12" s="23"/>
      <c r="AF12" s="23"/>
      <c r="AG12" s="23"/>
    </row>
    <row r="13" spans="1:33">
      <c r="A13" s="8" t="s">
        <v>10</v>
      </c>
      <c r="B13" s="23">
        <f>SUM(C13:AG13)</f>
        <v>131358.10000000003</v>
      </c>
      <c r="C13" s="24">
        <f>176053.75-C11-C12</f>
        <v>2248</v>
      </c>
      <c r="D13" s="24">
        <f>180016.46-D11-D12</f>
        <v>4229</v>
      </c>
      <c r="E13" s="24">
        <f>170493.1-E11-E12</f>
        <v>6115</v>
      </c>
      <c r="F13" s="24">
        <f>157659.39-F11-F12</f>
        <v>2560</v>
      </c>
      <c r="G13" s="24">
        <f>212606.65-G11-G12</f>
        <v>49821</v>
      </c>
      <c r="H13" s="24">
        <f>169019.19-H11-H12</f>
        <v>3839</v>
      </c>
      <c r="I13" s="24">
        <f>150720.45-I11-I12</f>
        <v>4054.0000000000146</v>
      </c>
      <c r="J13" s="24">
        <f>182523.39-J11-J12</f>
        <v>1690</v>
      </c>
      <c r="K13" s="23">
        <f>172923.44-K11-K12</f>
        <v>7709</v>
      </c>
      <c r="L13" s="23">
        <f>169256.03-L11-L12</f>
        <v>984</v>
      </c>
      <c r="M13" s="23">
        <f>184033.29-M11-M12</f>
        <v>4024</v>
      </c>
      <c r="N13" s="23">
        <v>2840</v>
      </c>
      <c r="O13" s="23">
        <f>178919.34-O11-O12</f>
        <v>1169</v>
      </c>
      <c r="P13" s="23">
        <f>172954-P11-P12</f>
        <v>1512</v>
      </c>
      <c r="Q13" s="23">
        <f>163119.46-Q11-Q12</f>
        <v>2441</v>
      </c>
      <c r="R13" s="23">
        <f>180307.54-R11-R12</f>
        <v>5448</v>
      </c>
      <c r="S13" s="23">
        <f>162749.46-S11-S12</f>
        <v>1356</v>
      </c>
      <c r="T13" s="23">
        <f>158400.55-T11-T12</f>
        <v>5173</v>
      </c>
      <c r="U13" s="23">
        <f>161281.94-U11-U12</f>
        <v>6119.1000000000058</v>
      </c>
      <c r="V13" s="23">
        <f>175186.04-V11-V12</f>
        <v>1290</v>
      </c>
      <c r="W13" s="23">
        <f>154136.39-W11-W12</f>
        <v>2813</v>
      </c>
      <c r="X13" s="23">
        <f>163618.66-X11-X12</f>
        <v>4393</v>
      </c>
      <c r="Y13" s="23" t="s">
        <v>43</v>
      </c>
      <c r="Z13" s="23">
        <f>178041.16-Z11-Z12</f>
        <v>874</v>
      </c>
      <c r="AA13" s="23">
        <f>173980.32-AA11-AA12</f>
        <v>1362</v>
      </c>
      <c r="AB13" s="23">
        <f>184274.66-AB11-AB12</f>
        <v>4050</v>
      </c>
      <c r="AC13" s="23">
        <f>128338.51-AC11-AC12</f>
        <v>995</v>
      </c>
      <c r="AD13" s="23">
        <f>161626.09-AD11-AD12</f>
        <v>2250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4764740.879999999</v>
      </c>
      <c r="C14" s="18">
        <f>SUM(C11:C13)</f>
        <v>176053.75</v>
      </c>
      <c r="D14" s="18">
        <f t="shared" ref="D14:AG14" si="5">SUM(D11:D13)</f>
        <v>180016.46</v>
      </c>
      <c r="E14" s="18">
        <f t="shared" si="5"/>
        <v>170493.1</v>
      </c>
      <c r="F14" s="18">
        <f t="shared" si="5"/>
        <v>157659.39000000001</v>
      </c>
      <c r="G14" s="18">
        <f t="shared" si="5"/>
        <v>212606.65</v>
      </c>
      <c r="H14" s="18">
        <f t="shared" si="5"/>
        <v>169019.19</v>
      </c>
      <c r="I14" s="18">
        <f t="shared" si="5"/>
        <v>150720.45000000001</v>
      </c>
      <c r="J14" s="18">
        <f t="shared" si="5"/>
        <v>182523.39</v>
      </c>
      <c r="K14" s="18">
        <f t="shared" si="5"/>
        <v>172923.44</v>
      </c>
      <c r="L14" s="18">
        <f t="shared" si="5"/>
        <v>169256.03</v>
      </c>
      <c r="M14" s="18">
        <f t="shared" si="5"/>
        <v>184033.29</v>
      </c>
      <c r="N14" s="18">
        <f t="shared" si="5"/>
        <v>171161.09</v>
      </c>
      <c r="O14" s="18">
        <f t="shared" si="5"/>
        <v>178919.34</v>
      </c>
      <c r="P14" s="18">
        <f t="shared" si="5"/>
        <v>172954</v>
      </c>
      <c r="Q14" s="18">
        <f t="shared" si="5"/>
        <v>163119.46</v>
      </c>
      <c r="R14" s="18">
        <f t="shared" si="5"/>
        <v>180307.54</v>
      </c>
      <c r="S14" s="18">
        <f t="shared" si="5"/>
        <v>162749.46</v>
      </c>
      <c r="T14" s="18">
        <f t="shared" si="5"/>
        <v>158400.54999999999</v>
      </c>
      <c r="U14" s="18">
        <f t="shared" si="5"/>
        <v>161281.94</v>
      </c>
      <c r="V14" s="18">
        <f t="shared" si="5"/>
        <v>175186.04</v>
      </c>
      <c r="W14" s="18">
        <f t="shared" si="5"/>
        <v>154136.39000000001</v>
      </c>
      <c r="X14" s="18">
        <f t="shared" si="5"/>
        <v>163618.66</v>
      </c>
      <c r="Y14" s="18">
        <f t="shared" si="5"/>
        <v>171340.53</v>
      </c>
      <c r="Z14" s="18">
        <f t="shared" si="5"/>
        <v>178041.16</v>
      </c>
      <c r="AA14" s="18">
        <f t="shared" si="5"/>
        <v>173980.32</v>
      </c>
      <c r="AB14" s="18">
        <f t="shared" si="5"/>
        <v>184274.66</v>
      </c>
      <c r="AC14" s="18">
        <f t="shared" si="5"/>
        <v>128338.51</v>
      </c>
      <c r="AD14" s="18">
        <f t="shared" si="5"/>
        <v>161626.09</v>
      </c>
      <c r="AE14" s="18">
        <f t="shared" si="5"/>
        <v>0</v>
      </c>
      <c r="AF14" s="18">
        <f t="shared" si="5"/>
        <v>0</v>
      </c>
      <c r="AG14" s="18">
        <f t="shared" si="5"/>
        <v>0</v>
      </c>
    </row>
    <row r="15" spans="1:33">
      <c r="A15" s="16" t="s">
        <v>15</v>
      </c>
      <c r="B15" s="23">
        <f t="shared" ref="B15:B23" si="6">SUM(C15:AG15)</f>
        <v>824351</v>
      </c>
      <c r="C15" s="23">
        <f>485+750+3700-410</f>
        <v>4525</v>
      </c>
      <c r="D15" s="23">
        <f>2356+150</f>
        <v>2506</v>
      </c>
      <c r="E15" s="23">
        <f>3825+1636-905</f>
        <v>4556</v>
      </c>
      <c r="F15" s="23">
        <f>7415+1416+10500</f>
        <v>19331</v>
      </c>
      <c r="G15" s="23">
        <f>67535+804+68365</f>
        <v>136704</v>
      </c>
      <c r="H15" s="23">
        <f>3725+300+5000-355</f>
        <v>8670</v>
      </c>
      <c r="I15" s="23">
        <f>3464+300+39540</f>
        <v>43304</v>
      </c>
      <c r="J15" s="23">
        <f>28335+600+3315</f>
        <v>32250</v>
      </c>
      <c r="K15" s="23">
        <f>38933+600+33000</f>
        <v>72533</v>
      </c>
      <c r="L15" s="23">
        <f>1795+450+2500-1215</f>
        <v>3530</v>
      </c>
      <c r="M15" s="23">
        <f>12124+500+43400</f>
        <v>56024</v>
      </c>
      <c r="N15" s="23">
        <v>3071</v>
      </c>
      <c r="O15" s="23">
        <f>1963+628</f>
        <v>2591</v>
      </c>
      <c r="P15" s="23">
        <f>219+460</f>
        <v>679</v>
      </c>
      <c r="Q15" s="23">
        <f>1695+511+13400</f>
        <v>15606</v>
      </c>
      <c r="R15" s="23">
        <f>3050+1032+11200</f>
        <v>15282</v>
      </c>
      <c r="S15" s="23">
        <f>8156+76660-21596</f>
        <v>63220</v>
      </c>
      <c r="T15" s="23">
        <f>18948+450+86300-24823</f>
        <v>80875</v>
      </c>
      <c r="U15" s="23">
        <f>7529+300+2200</f>
        <v>10029</v>
      </c>
      <c r="V15" s="23">
        <f>1152+938+36000-1410</f>
        <v>36680</v>
      </c>
      <c r="W15" s="23">
        <f>7609+180+28000</f>
        <v>35789</v>
      </c>
      <c r="X15" s="23">
        <f>7105+750+32000</f>
        <v>39855</v>
      </c>
      <c r="Y15" s="23">
        <f>731+43200+450</f>
        <v>44381</v>
      </c>
      <c r="Z15" s="23">
        <f>2448+750</f>
        <v>3198</v>
      </c>
      <c r="AA15" s="23">
        <f>908+593+15900</f>
        <v>17401</v>
      </c>
      <c r="AB15" s="23">
        <f>11072+190+9000</f>
        <v>20262</v>
      </c>
      <c r="AC15" s="23">
        <f>9150+558+33000-3350</f>
        <v>39358</v>
      </c>
      <c r="AD15" s="23">
        <f>11991+150</f>
        <v>12141</v>
      </c>
      <c r="AE15" s="23"/>
      <c r="AF15" s="23"/>
      <c r="AG15" s="23"/>
    </row>
    <row r="16" spans="1:33">
      <c r="A16" s="16" t="s">
        <v>16</v>
      </c>
      <c r="B16" s="23">
        <f t="shared" si="6"/>
        <v>3310133.1400000006</v>
      </c>
      <c r="C16" s="23">
        <f>10500+2400.16+2700</f>
        <v>15600.16</v>
      </c>
      <c r="D16" s="23">
        <f>6100+37239.24+16000</f>
        <v>59339.24</v>
      </c>
      <c r="E16" s="23">
        <f>7500+88723.8</f>
        <v>96223.8</v>
      </c>
      <c r="F16" s="23">
        <f>50699+107396.32+55500</f>
        <v>213595.32</v>
      </c>
      <c r="G16" s="23">
        <f>56691+137722.64+8000+8599.9</f>
        <v>211013.54</v>
      </c>
      <c r="H16" s="23">
        <f>6075+79342.94+48000+63200</f>
        <v>196617.94</v>
      </c>
      <c r="I16" s="23">
        <f>3630+51802.48+2700</f>
        <v>58132.480000000003</v>
      </c>
      <c r="J16" s="23">
        <f>21241+35846.4+11000</f>
        <v>68087.399999999994</v>
      </c>
      <c r="K16" s="23">
        <f>14831+66239.04+119800</f>
        <v>200870.03999999998</v>
      </c>
      <c r="L16" s="23">
        <f>90274.13+91700+10000</f>
        <v>191974.13</v>
      </c>
      <c r="M16" s="23">
        <f>4500.29+65515.52+59900+41500</f>
        <v>171415.81</v>
      </c>
      <c r="N16" s="23">
        <v>171065.86</v>
      </c>
      <c r="O16" s="23">
        <f>527+15542.08+31000+21200</f>
        <v>68269.08</v>
      </c>
      <c r="P16" s="23">
        <f>11470+7700+6300</f>
        <v>25470</v>
      </c>
      <c r="Q16" s="23">
        <f>1515+103516+2500+35000</f>
        <v>142531</v>
      </c>
      <c r="R16" s="23">
        <f>2282+79530.88+39840+4200</f>
        <v>125852.88</v>
      </c>
      <c r="S16" s="23">
        <f>25639+147424.68+10000</f>
        <v>183063.67999999999</v>
      </c>
      <c r="T16" s="23">
        <f>58276.04+2500+10561.6</f>
        <v>71337.64</v>
      </c>
      <c r="U16" s="23">
        <f>78704.03+2700+15199.2</f>
        <v>96603.23</v>
      </c>
      <c r="V16" s="23">
        <f>6601.48+5279.68+11500+16500</f>
        <v>39881.160000000003</v>
      </c>
      <c r="W16" s="23">
        <f>12155+119475.6+24500+2500</f>
        <v>158630.6</v>
      </c>
      <c r="X16" s="23">
        <f>569+116480.15+47999.1+5280.8</f>
        <v>170329.05</v>
      </c>
      <c r="Y16" s="23">
        <f>48003.2+16000+84000</f>
        <v>148003.20000000001</v>
      </c>
      <c r="Z16" s="23">
        <v>49000</v>
      </c>
      <c r="AA16" s="23">
        <f>5000.82+82057.02+20000+6000</f>
        <v>113057.84</v>
      </c>
      <c r="AB16" s="23">
        <f>21676+122698.18+4000+3000</f>
        <v>151374.18</v>
      </c>
      <c r="AC16" s="23">
        <f>31460+45539.18+3300+3300</f>
        <v>83599.179999999993</v>
      </c>
      <c r="AD16" s="23">
        <f>1735+11959.7+15500</f>
        <v>29194.7</v>
      </c>
      <c r="AE16" s="23"/>
      <c r="AF16" s="23"/>
      <c r="AG16" s="23"/>
    </row>
    <row r="17" spans="1:33">
      <c r="A17" s="16" t="s">
        <v>17</v>
      </c>
      <c r="B17" s="23">
        <f t="shared" si="6"/>
        <v>320990</v>
      </c>
      <c r="C17" s="23"/>
      <c r="D17" s="23"/>
      <c r="E17" s="23"/>
      <c r="F17" s="23"/>
      <c r="G17" s="23">
        <v>42800</v>
      </c>
      <c r="H17" s="23"/>
      <c r="I17" s="23">
        <v>24000</v>
      </c>
      <c r="J17" s="23"/>
      <c r="K17" s="23"/>
      <c r="L17" s="23"/>
      <c r="M17" s="23"/>
      <c r="N17" s="23">
        <v>11800</v>
      </c>
      <c r="O17" s="23"/>
      <c r="P17" s="23"/>
      <c r="Q17" s="23">
        <v>40360</v>
      </c>
      <c r="R17" s="23">
        <v>51100</v>
      </c>
      <c r="S17" s="23"/>
      <c r="T17" s="23">
        <v>20600</v>
      </c>
      <c r="U17" s="23">
        <v>40500</v>
      </c>
      <c r="V17" s="23"/>
      <c r="W17" s="23">
        <v>19200</v>
      </c>
      <c r="X17" s="23"/>
      <c r="Y17" s="23"/>
      <c r="Z17" s="23"/>
      <c r="AA17" s="23"/>
      <c r="AB17" s="23">
        <v>22000</v>
      </c>
      <c r="AC17" s="23"/>
      <c r="AD17" s="23">
        <v>48630</v>
      </c>
      <c r="AE17" s="23"/>
      <c r="AF17" s="23"/>
      <c r="AG17" s="23"/>
    </row>
    <row r="18" spans="1:33">
      <c r="A18" s="16" t="s">
        <v>18</v>
      </c>
      <c r="B18" s="23">
        <f t="shared" si="6"/>
        <v>76822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>
        <v>26934</v>
      </c>
      <c r="O18" s="23"/>
      <c r="P18" s="23"/>
      <c r="Q18" s="23"/>
      <c r="R18" s="23"/>
      <c r="S18" s="23"/>
      <c r="T18" s="23"/>
      <c r="U18" s="23">
        <v>32288</v>
      </c>
      <c r="V18" s="23"/>
      <c r="W18" s="23">
        <v>17600</v>
      </c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6"/>
        <v>256770</v>
      </c>
      <c r="C19" s="23"/>
      <c r="D19" s="23"/>
      <c r="E19" s="23"/>
      <c r="F19" s="23">
        <v>29700</v>
      </c>
      <c r="G19" s="23"/>
      <c r="H19" s="23"/>
      <c r="I19" s="23"/>
      <c r="J19" s="23"/>
      <c r="K19" s="23">
        <v>6600</v>
      </c>
      <c r="L19" s="23"/>
      <c r="M19" s="23">
        <v>12000</v>
      </c>
      <c r="N19" s="23"/>
      <c r="O19" s="23">
        <v>52400</v>
      </c>
      <c r="P19" s="23">
        <v>20900</v>
      </c>
      <c r="Q19" s="23">
        <v>3000</v>
      </c>
      <c r="R19" s="23"/>
      <c r="S19" s="23">
        <v>54870</v>
      </c>
      <c r="T19" s="23">
        <v>7500</v>
      </c>
      <c r="U19" s="23">
        <v>5000</v>
      </c>
      <c r="V19" s="23"/>
      <c r="W19" s="23">
        <v>36000</v>
      </c>
      <c r="X19" s="23"/>
      <c r="Y19" s="23"/>
      <c r="Z19" s="23"/>
      <c r="AA19" s="23"/>
      <c r="AB19" s="23">
        <v>28800</v>
      </c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6"/>
        <v>17328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17328</v>
      </c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6"/>
        <v>65630.48</v>
      </c>
      <c r="C21" s="23"/>
      <c r="D21" s="23"/>
      <c r="E21" s="23">
        <v>24838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>
        <v>7200.48</v>
      </c>
      <c r="T21" s="23">
        <v>5322</v>
      </c>
      <c r="U21" s="23"/>
      <c r="V21" s="23">
        <v>5280</v>
      </c>
      <c r="W21" s="23"/>
      <c r="X21" s="23"/>
      <c r="Y21" s="23"/>
      <c r="Z21" s="23"/>
      <c r="AA21" s="23"/>
      <c r="AB21" s="23"/>
      <c r="AC21" s="23"/>
      <c r="AD21" s="23">
        <v>22990</v>
      </c>
      <c r="AE21" s="23"/>
      <c r="AF21" s="23"/>
      <c r="AG21" s="23"/>
    </row>
    <row r="22" spans="1:33">
      <c r="A22" s="16" t="s">
        <v>22</v>
      </c>
      <c r="B22" s="23">
        <f t="shared" si="6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6"/>
        <v>-229130</v>
      </c>
      <c r="C23" s="24">
        <v>-2700</v>
      </c>
      <c r="D23" s="24">
        <v>23000</v>
      </c>
      <c r="E23" s="24"/>
      <c r="F23" s="24">
        <v>-21300</v>
      </c>
      <c r="G23" s="24">
        <v>-18000</v>
      </c>
      <c r="H23" s="24">
        <v>-89000</v>
      </c>
      <c r="I23" s="24">
        <v>-24000</v>
      </c>
      <c r="J23" s="24">
        <v>52185</v>
      </c>
      <c r="K23" s="24">
        <v>-9800</v>
      </c>
      <c r="L23" s="24"/>
      <c r="M23" s="24">
        <v>-21300</v>
      </c>
      <c r="N23" s="24">
        <v>24000</v>
      </c>
      <c r="O23" s="24">
        <v>-52400</v>
      </c>
      <c r="P23" s="24">
        <v>-11900</v>
      </c>
      <c r="Q23" s="24">
        <v>-49360</v>
      </c>
      <c r="R23" s="24">
        <v>-25080</v>
      </c>
      <c r="S23" s="24">
        <v>-68420</v>
      </c>
      <c r="T23" s="24">
        <v>-7300</v>
      </c>
      <c r="U23" s="24">
        <v>-11900</v>
      </c>
      <c r="V23" s="24">
        <v>23000</v>
      </c>
      <c r="W23" s="24">
        <v>-12700</v>
      </c>
      <c r="X23" s="24">
        <v>33100</v>
      </c>
      <c r="Y23" s="24">
        <v>48270</v>
      </c>
      <c r="Z23" s="24">
        <v>13200</v>
      </c>
      <c r="AA23" s="24"/>
      <c r="AB23" s="24">
        <v>-50800</v>
      </c>
      <c r="AC23" s="24">
        <v>18515</v>
      </c>
      <c r="AD23" s="24">
        <v>11560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4642894.620000001</v>
      </c>
      <c r="C24" s="19">
        <f>SUM(C15:C23)</f>
        <v>17425.16</v>
      </c>
      <c r="D24" s="19">
        <f t="shared" ref="D24:U24" si="7">SUM(D15:D23)</f>
        <v>84845.239999999991</v>
      </c>
      <c r="E24" s="19">
        <f t="shared" si="7"/>
        <v>125617.8</v>
      </c>
      <c r="F24" s="19">
        <f t="shared" si="7"/>
        <v>241326.32</v>
      </c>
      <c r="G24" s="19">
        <f t="shared" si="7"/>
        <v>372517.54000000004</v>
      </c>
      <c r="H24" s="19">
        <f t="shared" si="7"/>
        <v>116287.94</v>
      </c>
      <c r="I24" s="19">
        <f t="shared" si="7"/>
        <v>101436.48000000001</v>
      </c>
      <c r="J24" s="19">
        <f t="shared" si="7"/>
        <v>152522.4</v>
      </c>
      <c r="K24" s="19">
        <f t="shared" si="7"/>
        <v>270203.03999999998</v>
      </c>
      <c r="L24" s="19">
        <f t="shared" si="7"/>
        <v>195504.13</v>
      </c>
      <c r="M24" s="19">
        <f t="shared" si="7"/>
        <v>218139.81</v>
      </c>
      <c r="N24" s="19">
        <f t="shared" si="7"/>
        <v>236870.86</v>
      </c>
      <c r="O24" s="19">
        <f t="shared" si="7"/>
        <v>70860.08</v>
      </c>
      <c r="P24" s="19">
        <f t="shared" si="7"/>
        <v>35149</v>
      </c>
      <c r="Q24" s="19">
        <f t="shared" si="7"/>
        <v>152137</v>
      </c>
      <c r="R24" s="19">
        <f t="shared" si="7"/>
        <v>167154.88</v>
      </c>
      <c r="S24" s="19">
        <f t="shared" si="7"/>
        <v>239934.15999999997</v>
      </c>
      <c r="T24" s="19">
        <f t="shared" si="7"/>
        <v>178334.64</v>
      </c>
      <c r="U24" s="19">
        <f t="shared" si="7"/>
        <v>172520.22999999998</v>
      </c>
      <c r="V24" s="19">
        <f>SUM(V15:V23)</f>
        <v>104841.16</v>
      </c>
      <c r="W24" s="19">
        <f t="shared" ref="W24:AG24" si="8">SUM(W15:W23)</f>
        <v>254519.59999999998</v>
      </c>
      <c r="X24" s="19">
        <f t="shared" si="8"/>
        <v>243284.05</v>
      </c>
      <c r="Y24" s="19">
        <f t="shared" si="8"/>
        <v>240654.2</v>
      </c>
      <c r="Z24" s="19">
        <f t="shared" si="8"/>
        <v>65398</v>
      </c>
      <c r="AA24" s="19">
        <f t="shared" si="8"/>
        <v>130458.84</v>
      </c>
      <c r="AB24" s="19">
        <f>SUM(AB15:AB23)</f>
        <v>188964.18</v>
      </c>
      <c r="AC24" s="19">
        <f>SUM(AC15:AC23)</f>
        <v>141472.18</v>
      </c>
      <c r="AD24" s="19">
        <f>SUM(AD15:AD23)</f>
        <v>124515.7</v>
      </c>
      <c r="AE24" s="19">
        <f t="shared" si="8"/>
        <v>0</v>
      </c>
      <c r="AF24" s="19">
        <f t="shared" si="8"/>
        <v>0</v>
      </c>
      <c r="AG24" s="19">
        <f t="shared" si="8"/>
        <v>0</v>
      </c>
    </row>
    <row r="25" spans="1:33" ht="20.100000000000001" customHeight="1" thickBot="1">
      <c r="A25" s="11" t="s">
        <v>24</v>
      </c>
      <c r="B25" s="20">
        <f>B10+B14-B24</f>
        <v>121846.25999999791</v>
      </c>
      <c r="C25" s="20">
        <f>C10+C14-C24</f>
        <v>133691.53</v>
      </c>
      <c r="D25" s="20">
        <f t="shared" ref="D25:AG25" si="9">D10+D14-D24</f>
        <v>228862.75</v>
      </c>
      <c r="E25" s="20">
        <f t="shared" si="9"/>
        <v>273738.05</v>
      </c>
      <c r="F25" s="20">
        <f t="shared" si="9"/>
        <v>190071.12</v>
      </c>
      <c r="G25" s="20">
        <f t="shared" si="9"/>
        <v>30160.229999999981</v>
      </c>
      <c r="H25" s="20">
        <f t="shared" si="9"/>
        <v>82891.479999999981</v>
      </c>
      <c r="I25" s="20">
        <f t="shared" si="9"/>
        <v>132175.44999999998</v>
      </c>
      <c r="J25" s="20">
        <f t="shared" si="9"/>
        <v>162176.43999999997</v>
      </c>
      <c r="K25" s="20">
        <f t="shared" si="9"/>
        <v>64896.840000000026</v>
      </c>
      <c r="L25" s="20">
        <f t="shared" si="9"/>
        <v>38648.74000000002</v>
      </c>
      <c r="M25" s="20">
        <f t="shared" si="9"/>
        <v>4542.2200000000303</v>
      </c>
      <c r="N25" s="20">
        <f t="shared" si="9"/>
        <v>-61167.549999999959</v>
      </c>
      <c r="O25" s="20">
        <f t="shared" si="9"/>
        <v>46891.710000000036</v>
      </c>
      <c r="P25" s="20">
        <f t="shared" si="9"/>
        <v>184696.71000000002</v>
      </c>
      <c r="Q25" s="20">
        <f t="shared" si="9"/>
        <v>195679.17000000004</v>
      </c>
      <c r="R25" s="20">
        <f t="shared" si="9"/>
        <v>208831.83000000007</v>
      </c>
      <c r="S25" s="20">
        <f t="shared" si="9"/>
        <v>131647.13000000006</v>
      </c>
      <c r="T25" s="20">
        <f t="shared" si="9"/>
        <v>111713.04000000004</v>
      </c>
      <c r="U25" s="20">
        <f t="shared" si="9"/>
        <v>100474.75000000006</v>
      </c>
      <c r="V25" s="20">
        <f t="shared" si="9"/>
        <v>170819.63000000003</v>
      </c>
      <c r="W25" s="20">
        <f t="shared" si="9"/>
        <v>70436.420000000042</v>
      </c>
      <c r="X25" s="20">
        <f t="shared" si="9"/>
        <v>-9228.969999999943</v>
      </c>
      <c r="Y25" s="20">
        <f t="shared" si="9"/>
        <v>-78542.639999999956</v>
      </c>
      <c r="Z25" s="20">
        <f t="shared" si="9"/>
        <v>34100.520000000048</v>
      </c>
      <c r="AA25" s="20">
        <f t="shared" si="9"/>
        <v>77622.000000000058</v>
      </c>
      <c r="AB25" s="20">
        <f t="shared" si="9"/>
        <v>72932.480000000069</v>
      </c>
      <c r="AC25" s="20">
        <f t="shared" si="9"/>
        <v>59798.810000000056</v>
      </c>
      <c r="AD25" s="20">
        <f t="shared" si="9"/>
        <v>96909.200000000055</v>
      </c>
      <c r="AE25" s="20">
        <f t="shared" si="9"/>
        <v>96909.200000000055</v>
      </c>
      <c r="AF25" s="20">
        <f t="shared" si="9"/>
        <v>96909.200000000055</v>
      </c>
      <c r="AG25" s="20">
        <f t="shared" si="9"/>
        <v>96909.200000000055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29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1988</v>
      </c>
      <c r="C3" s="27">
        <v>71</v>
      </c>
      <c r="D3" s="27">
        <v>71</v>
      </c>
      <c r="E3" s="27">
        <v>71</v>
      </c>
      <c r="F3" s="27">
        <v>71</v>
      </c>
      <c r="G3" s="27">
        <v>71</v>
      </c>
      <c r="H3" s="27">
        <v>71</v>
      </c>
      <c r="I3" s="27">
        <v>71</v>
      </c>
      <c r="J3" s="27">
        <v>71</v>
      </c>
      <c r="K3" s="27">
        <v>71</v>
      </c>
      <c r="L3" s="27">
        <v>71</v>
      </c>
      <c r="M3" s="27">
        <v>71</v>
      </c>
      <c r="N3" s="27">
        <v>71</v>
      </c>
      <c r="O3" s="27">
        <v>71</v>
      </c>
      <c r="P3" s="27">
        <v>71</v>
      </c>
      <c r="Q3" s="27">
        <v>71</v>
      </c>
      <c r="R3" s="27">
        <v>71</v>
      </c>
      <c r="S3" s="27">
        <v>71</v>
      </c>
      <c r="T3" s="27">
        <v>71</v>
      </c>
      <c r="U3" s="27">
        <v>71</v>
      </c>
      <c r="V3" s="27">
        <v>71</v>
      </c>
      <c r="W3" s="27">
        <v>71</v>
      </c>
      <c r="X3" s="27">
        <v>71</v>
      </c>
      <c r="Y3" s="27">
        <v>71</v>
      </c>
      <c r="Z3" s="27">
        <v>71</v>
      </c>
      <c r="AA3" s="27">
        <v>71</v>
      </c>
      <c r="AB3" s="27">
        <v>71</v>
      </c>
      <c r="AC3" s="27">
        <v>71</v>
      </c>
      <c r="AD3" s="27">
        <v>71</v>
      </c>
      <c r="AE3" s="27"/>
      <c r="AF3" s="27"/>
      <c r="AG3" s="27"/>
    </row>
    <row r="4" spans="1:33">
      <c r="A4" s="31" t="s">
        <v>1</v>
      </c>
      <c r="B4" s="14"/>
      <c r="C4" s="14">
        <v>1</v>
      </c>
      <c r="D4" s="14">
        <v>1</v>
      </c>
      <c r="E4" s="14">
        <v>1</v>
      </c>
      <c r="F4" s="14">
        <v>1</v>
      </c>
      <c r="G4" s="14">
        <v>1</v>
      </c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1988</v>
      </c>
      <c r="C5" s="5">
        <f t="shared" ref="C5:AD5" si="1">+C3-C4</f>
        <v>70</v>
      </c>
      <c r="D5" s="5">
        <f t="shared" si="1"/>
        <v>70</v>
      </c>
      <c r="E5" s="5">
        <f t="shared" si="1"/>
        <v>70</v>
      </c>
      <c r="F5" s="5">
        <f t="shared" si="1"/>
        <v>70</v>
      </c>
      <c r="G5" s="5">
        <f t="shared" si="1"/>
        <v>70</v>
      </c>
      <c r="H5" s="5">
        <f t="shared" si="1"/>
        <v>71</v>
      </c>
      <c r="I5" s="5">
        <f t="shared" si="1"/>
        <v>71</v>
      </c>
      <c r="J5" s="5">
        <f t="shared" si="1"/>
        <v>71</v>
      </c>
      <c r="K5" s="5">
        <f t="shared" si="1"/>
        <v>71</v>
      </c>
      <c r="L5" s="5">
        <f t="shared" si="1"/>
        <v>71</v>
      </c>
      <c r="M5" s="5">
        <f t="shared" si="1"/>
        <v>71</v>
      </c>
      <c r="N5" s="5">
        <f t="shared" si="1"/>
        <v>71</v>
      </c>
      <c r="O5" s="5">
        <f t="shared" si="1"/>
        <v>71</v>
      </c>
      <c r="P5" s="5">
        <f t="shared" si="1"/>
        <v>71</v>
      </c>
      <c r="Q5" s="5">
        <f t="shared" si="1"/>
        <v>71</v>
      </c>
      <c r="R5" s="5">
        <f t="shared" si="1"/>
        <v>71</v>
      </c>
      <c r="S5" s="5">
        <f t="shared" si="1"/>
        <v>71</v>
      </c>
      <c r="T5" s="5">
        <f t="shared" si="1"/>
        <v>71</v>
      </c>
      <c r="U5" s="5">
        <f t="shared" si="1"/>
        <v>71</v>
      </c>
      <c r="V5" s="5">
        <f t="shared" si="1"/>
        <v>71</v>
      </c>
      <c r="W5" s="5">
        <f t="shared" si="1"/>
        <v>71</v>
      </c>
      <c r="X5" s="5">
        <f t="shared" si="1"/>
        <v>71</v>
      </c>
      <c r="Y5" s="5">
        <f t="shared" si="1"/>
        <v>71</v>
      </c>
      <c r="Z5" s="5">
        <f t="shared" si="1"/>
        <v>71</v>
      </c>
      <c r="AA5" s="5">
        <f t="shared" si="1"/>
        <v>71</v>
      </c>
      <c r="AB5" s="5">
        <f t="shared" si="1"/>
        <v>71</v>
      </c>
      <c r="AC5" s="5">
        <f t="shared" si="1"/>
        <v>71</v>
      </c>
      <c r="AD5" s="5">
        <f t="shared" si="1"/>
        <v>71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1817</v>
      </c>
      <c r="C6" s="34">
        <v>67</v>
      </c>
      <c r="D6" s="34">
        <v>70</v>
      </c>
      <c r="E6" s="34">
        <v>67</v>
      </c>
      <c r="F6" s="34">
        <v>57</v>
      </c>
      <c r="G6" s="34">
        <v>62</v>
      </c>
      <c r="H6" s="34">
        <v>60</v>
      </c>
      <c r="I6" s="34">
        <v>68</v>
      </c>
      <c r="J6" s="34">
        <v>68</v>
      </c>
      <c r="K6" s="34">
        <v>70</v>
      </c>
      <c r="L6" s="34">
        <v>67</v>
      </c>
      <c r="M6" s="34">
        <v>69</v>
      </c>
      <c r="N6" s="34">
        <v>70</v>
      </c>
      <c r="O6" s="34">
        <v>70</v>
      </c>
      <c r="P6" s="34">
        <v>71</v>
      </c>
      <c r="Q6" s="34">
        <v>71</v>
      </c>
      <c r="R6" s="34">
        <v>70</v>
      </c>
      <c r="S6" s="34">
        <v>68</v>
      </c>
      <c r="T6" s="34">
        <v>64</v>
      </c>
      <c r="U6" s="34">
        <v>71</v>
      </c>
      <c r="V6" s="34">
        <v>71</v>
      </c>
      <c r="W6" s="34">
        <v>65</v>
      </c>
      <c r="X6" s="34">
        <v>66</v>
      </c>
      <c r="Y6" s="34">
        <v>71</v>
      </c>
      <c r="Z6" s="34">
        <v>61</v>
      </c>
      <c r="AA6" s="34">
        <v>50</v>
      </c>
      <c r="AB6" s="34">
        <v>57</v>
      </c>
      <c r="AC6" s="34">
        <v>46</v>
      </c>
      <c r="AD6" s="34">
        <v>50</v>
      </c>
      <c r="AE6" s="25"/>
      <c r="AF6" s="25"/>
      <c r="AG6" s="25"/>
    </row>
    <row r="7" spans="1:33">
      <c r="A7" s="4" t="s">
        <v>4</v>
      </c>
      <c r="B7" s="7">
        <f>IF(B6=0,0,B6/B5)</f>
        <v>0.91398390342052316</v>
      </c>
      <c r="C7" s="7">
        <f t="shared" ref="C7:AD7" si="2">IF(C6=0,0,C6/C5)</f>
        <v>0.95714285714285718</v>
      </c>
      <c r="D7" s="7">
        <f t="shared" si="2"/>
        <v>1</v>
      </c>
      <c r="E7" s="7">
        <f t="shared" si="2"/>
        <v>0.95714285714285718</v>
      </c>
      <c r="F7" s="7">
        <f t="shared" si="2"/>
        <v>0.81428571428571428</v>
      </c>
      <c r="G7" s="7">
        <f t="shared" si="2"/>
        <v>0.88571428571428568</v>
      </c>
      <c r="H7" s="7">
        <f t="shared" si="2"/>
        <v>0.84507042253521125</v>
      </c>
      <c r="I7" s="7">
        <f t="shared" si="2"/>
        <v>0.95774647887323938</v>
      </c>
      <c r="J7" s="7">
        <f t="shared" si="2"/>
        <v>0.95774647887323938</v>
      </c>
      <c r="K7" s="7">
        <f t="shared" si="2"/>
        <v>0.9859154929577465</v>
      </c>
      <c r="L7" s="7">
        <f t="shared" si="2"/>
        <v>0.94366197183098588</v>
      </c>
      <c r="M7" s="7">
        <f t="shared" si="2"/>
        <v>0.971830985915493</v>
      </c>
      <c r="N7" s="7">
        <f t="shared" si="2"/>
        <v>0.9859154929577465</v>
      </c>
      <c r="O7" s="7">
        <f t="shared" si="2"/>
        <v>0.9859154929577465</v>
      </c>
      <c r="P7" s="7">
        <f t="shared" si="2"/>
        <v>1</v>
      </c>
      <c r="Q7" s="7">
        <f t="shared" si="2"/>
        <v>1</v>
      </c>
      <c r="R7" s="7">
        <f t="shared" si="2"/>
        <v>0.9859154929577465</v>
      </c>
      <c r="S7" s="7">
        <f t="shared" si="2"/>
        <v>0.95774647887323938</v>
      </c>
      <c r="T7" s="7">
        <f t="shared" si="2"/>
        <v>0.90140845070422537</v>
      </c>
      <c r="U7" s="7">
        <f t="shared" si="2"/>
        <v>1</v>
      </c>
      <c r="V7" s="7">
        <f t="shared" si="2"/>
        <v>1</v>
      </c>
      <c r="W7" s="7">
        <f t="shared" si="2"/>
        <v>0.91549295774647887</v>
      </c>
      <c r="X7" s="7">
        <f t="shared" si="2"/>
        <v>0.92957746478873238</v>
      </c>
      <c r="Y7" s="7">
        <f t="shared" si="2"/>
        <v>1</v>
      </c>
      <c r="Z7" s="7">
        <f t="shared" si="2"/>
        <v>0.85915492957746475</v>
      </c>
      <c r="AA7" s="7">
        <f t="shared" si="2"/>
        <v>0.70422535211267601</v>
      </c>
      <c r="AB7" s="7">
        <f t="shared" si="2"/>
        <v>0.80281690140845074</v>
      </c>
      <c r="AC7" s="7">
        <f t="shared" si="2"/>
        <v>0.647887323943662</v>
      </c>
      <c r="AD7" s="7">
        <f t="shared" si="2"/>
        <v>0.70422535211267601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1993.3129499174463</v>
      </c>
      <c r="C8" s="6">
        <f t="shared" ref="C8:AD8" si="3">IF(C6=0,0,C11/C6)</f>
        <v>1859.6241791044777</v>
      </c>
      <c r="D8" s="6">
        <f t="shared" si="3"/>
        <v>1979.883</v>
      </c>
      <c r="E8" s="6">
        <f t="shared" si="3"/>
        <v>1959.1000000000001</v>
      </c>
      <c r="F8" s="6">
        <f t="shared" si="3"/>
        <v>1871.8631578947368</v>
      </c>
      <c r="G8" s="6">
        <f t="shared" si="3"/>
        <v>1929.1737096774193</v>
      </c>
      <c r="H8" s="6">
        <f t="shared" si="3"/>
        <v>1867.0796666666668</v>
      </c>
      <c r="I8" s="6">
        <f t="shared" si="3"/>
        <v>1980.1536764705884</v>
      </c>
      <c r="J8" s="6">
        <f t="shared" si="3"/>
        <v>1964.8469117647057</v>
      </c>
      <c r="K8" s="6">
        <f t="shared" si="3"/>
        <v>1984.8662857142858</v>
      </c>
      <c r="L8" s="6">
        <f t="shared" si="3"/>
        <v>1942.7649253731342</v>
      </c>
      <c r="M8" s="6">
        <f t="shared" si="3"/>
        <v>1967.5146376811595</v>
      </c>
      <c r="N8" s="6">
        <f t="shared" si="3"/>
        <v>1991.5474285714288</v>
      </c>
      <c r="O8" s="6">
        <f t="shared" si="3"/>
        <v>1962.3385714285716</v>
      </c>
      <c r="P8" s="6">
        <f t="shared" si="3"/>
        <v>2016.53661971831</v>
      </c>
      <c r="Q8" s="6">
        <f t="shared" si="3"/>
        <v>2042.9936619718308</v>
      </c>
      <c r="R8" s="6">
        <f t="shared" si="3"/>
        <v>1987.8779999999999</v>
      </c>
      <c r="S8" s="6">
        <f t="shared" si="3"/>
        <v>2009.8870588235295</v>
      </c>
      <c r="T8" s="6">
        <f t="shared" si="3"/>
        <v>2066.3273437500002</v>
      </c>
      <c r="U8" s="6">
        <f t="shared" si="3"/>
        <v>2203.3167605633803</v>
      </c>
      <c r="V8" s="6">
        <f t="shared" si="3"/>
        <v>2100.4869014084506</v>
      </c>
      <c r="W8" s="6">
        <f t="shared" si="3"/>
        <v>2019.0983076923078</v>
      </c>
      <c r="X8" s="6">
        <f t="shared" si="3"/>
        <v>2164.6936363636364</v>
      </c>
      <c r="Y8" s="6">
        <f t="shared" si="3"/>
        <v>2099.2757746478869</v>
      </c>
      <c r="Z8" s="6">
        <f t="shared" si="3"/>
        <v>2004.6081967213115</v>
      </c>
      <c r="AA8" s="6">
        <f t="shared" si="3"/>
        <v>1896.68</v>
      </c>
      <c r="AB8" s="6">
        <f t="shared" si="3"/>
        <v>2015.0519298245615</v>
      </c>
      <c r="AC8" s="6">
        <f t="shared" si="3"/>
        <v>1846.9908695652175</v>
      </c>
      <c r="AD8" s="49">
        <f t="shared" si="3"/>
        <v>1944.3452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1821.8559507042253</v>
      </c>
      <c r="C9" s="6">
        <f t="shared" ref="C9:AD9" si="4">IF(C11=0,0,C11/C3)</f>
        <v>1754.85661971831</v>
      </c>
      <c r="D9" s="6">
        <f t="shared" si="4"/>
        <v>1951.997323943662</v>
      </c>
      <c r="E9" s="6">
        <f t="shared" si="4"/>
        <v>1848.7281690140846</v>
      </c>
      <c r="F9" s="6">
        <f t="shared" si="4"/>
        <v>1502.7633802816902</v>
      </c>
      <c r="G9" s="6">
        <f t="shared" si="4"/>
        <v>1684.6305633802817</v>
      </c>
      <c r="H9" s="6">
        <f t="shared" si="4"/>
        <v>1577.8138028169014</v>
      </c>
      <c r="I9" s="6">
        <f t="shared" si="4"/>
        <v>1896.4852112676058</v>
      </c>
      <c r="J9" s="6">
        <f t="shared" si="4"/>
        <v>1881.8252112676055</v>
      </c>
      <c r="K9" s="6">
        <f t="shared" si="4"/>
        <v>1956.9104225352114</v>
      </c>
      <c r="L9" s="6">
        <f t="shared" si="4"/>
        <v>1833.3133802816901</v>
      </c>
      <c r="M9" s="6">
        <f t="shared" si="4"/>
        <v>1912.0916901408452</v>
      </c>
      <c r="N9" s="6">
        <f t="shared" si="4"/>
        <v>1963.4974647887325</v>
      </c>
      <c r="O9" s="6">
        <f t="shared" si="4"/>
        <v>1934.7000000000003</v>
      </c>
      <c r="P9" s="6">
        <f t="shared" si="4"/>
        <v>2016.53661971831</v>
      </c>
      <c r="Q9" s="6">
        <f t="shared" si="4"/>
        <v>2042.9936619718308</v>
      </c>
      <c r="R9" s="6">
        <f t="shared" si="4"/>
        <v>1959.8797183098591</v>
      </c>
      <c r="S9" s="6">
        <f t="shared" si="4"/>
        <v>1924.962253521127</v>
      </c>
      <c r="T9" s="6">
        <f t="shared" si="4"/>
        <v>1862.6049295774649</v>
      </c>
      <c r="U9" s="6">
        <f t="shared" si="4"/>
        <v>2203.3167605633803</v>
      </c>
      <c r="V9" s="6">
        <f t="shared" si="4"/>
        <v>2100.4869014084506</v>
      </c>
      <c r="W9" s="6">
        <f t="shared" si="4"/>
        <v>1848.4702816901411</v>
      </c>
      <c r="X9" s="6">
        <f t="shared" si="4"/>
        <v>2012.2504225352113</v>
      </c>
      <c r="Y9" s="6">
        <f t="shared" si="4"/>
        <v>2099.2757746478869</v>
      </c>
      <c r="Z9" s="6">
        <f t="shared" si="4"/>
        <v>1722.269014084507</v>
      </c>
      <c r="AA9" s="6">
        <f t="shared" si="4"/>
        <v>1335.6901408450703</v>
      </c>
      <c r="AB9" s="6">
        <f t="shared" si="4"/>
        <v>1617.7177464788733</v>
      </c>
      <c r="AC9" s="6">
        <f t="shared" si="4"/>
        <v>1196.641971830986</v>
      </c>
      <c r="AD9" s="49">
        <f t="shared" si="4"/>
        <v>1369.2571830985914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-4591336.13</v>
      </c>
      <c r="D10" s="29">
        <f>C25</f>
        <v>-4509944.21</v>
      </c>
      <c r="E10" s="29">
        <f t="shared" ref="E10:AD10" si="5">D25</f>
        <v>-4481027.92</v>
      </c>
      <c r="F10" s="29">
        <f t="shared" si="5"/>
        <v>-4459907.42</v>
      </c>
      <c r="G10" s="29">
        <f t="shared" si="5"/>
        <v>-4420977.95</v>
      </c>
      <c r="H10" s="29">
        <f t="shared" si="5"/>
        <v>-4423759.87</v>
      </c>
      <c r="I10" s="29">
        <f t="shared" si="5"/>
        <v>-4423507.0200000005</v>
      </c>
      <c r="J10" s="29">
        <f t="shared" si="5"/>
        <v>-4408910.43</v>
      </c>
      <c r="K10" s="29">
        <f t="shared" si="5"/>
        <v>-4368207.4499999993</v>
      </c>
      <c r="L10" s="29">
        <f t="shared" si="5"/>
        <v>-4385773.5599999996</v>
      </c>
      <c r="M10" s="29">
        <f t="shared" si="5"/>
        <v>-4423388.4400000004</v>
      </c>
      <c r="N10" s="29">
        <f t="shared" si="5"/>
        <v>-4479806.3800000008</v>
      </c>
      <c r="O10" s="29">
        <f t="shared" si="5"/>
        <v>-4413285.540000001</v>
      </c>
      <c r="P10" s="29">
        <f t="shared" si="5"/>
        <v>-4300636.1400000015</v>
      </c>
      <c r="Q10" s="29">
        <f t="shared" si="5"/>
        <v>-4409703.8300000019</v>
      </c>
      <c r="R10" s="29">
        <f t="shared" si="5"/>
        <v>-4344780.4600000018</v>
      </c>
      <c r="S10" s="29">
        <f t="shared" si="5"/>
        <v>-4307489.3500000015</v>
      </c>
      <c r="T10" s="29">
        <f t="shared" si="5"/>
        <v>-4287621.1900000013</v>
      </c>
      <c r="U10" s="29">
        <f t="shared" si="5"/>
        <v>-4302063.2400000012</v>
      </c>
      <c r="V10" s="29">
        <f t="shared" si="5"/>
        <v>-4367737.7100000009</v>
      </c>
      <c r="W10" s="29">
        <f t="shared" si="5"/>
        <v>-4268733.540000001</v>
      </c>
      <c r="X10" s="29">
        <f t="shared" si="5"/>
        <v>-4319708.3400000008</v>
      </c>
      <c r="Y10" s="29">
        <f t="shared" si="5"/>
        <v>-4285279.3500000006</v>
      </c>
      <c r="Z10" s="29">
        <f t="shared" si="5"/>
        <v>-4442834.0100000007</v>
      </c>
      <c r="AA10" s="29">
        <f t="shared" si="5"/>
        <v>-4354048.67</v>
      </c>
      <c r="AB10" s="29">
        <f t="shared" si="5"/>
        <v>-4494243.18</v>
      </c>
      <c r="AC10" s="29">
        <f t="shared" si="5"/>
        <v>-4521974.0399999991</v>
      </c>
      <c r="AD10" s="29">
        <f t="shared" si="5"/>
        <v>-4480028.1399999987</v>
      </c>
      <c r="AE10" s="29">
        <f>AD25</f>
        <v>-4474899.3999999985</v>
      </c>
      <c r="AF10" s="29">
        <f>AE25</f>
        <v>-4474899.3999999985</v>
      </c>
      <c r="AG10" s="29">
        <f>AF25</f>
        <v>-4474899.3999999985</v>
      </c>
    </row>
    <row r="11" spans="1:33">
      <c r="A11" s="4" t="s">
        <v>8</v>
      </c>
      <c r="B11" s="23">
        <f>SUM(C11:AG11)</f>
        <v>3621849.63</v>
      </c>
      <c r="C11" s="23">
        <v>124594.82</v>
      </c>
      <c r="D11" s="23">
        <v>138591.81</v>
      </c>
      <c r="E11" s="23">
        <v>131259.70000000001</v>
      </c>
      <c r="F11" s="23">
        <v>106696.2</v>
      </c>
      <c r="G11" s="23">
        <v>119608.77</v>
      </c>
      <c r="H11" s="23">
        <v>112024.78</v>
      </c>
      <c r="I11" s="23">
        <v>134650.45000000001</v>
      </c>
      <c r="J11" s="23">
        <v>133609.59</v>
      </c>
      <c r="K11" s="23">
        <v>138940.64000000001</v>
      </c>
      <c r="L11" s="23">
        <v>130165.25</v>
      </c>
      <c r="M11" s="23">
        <v>135758.51</v>
      </c>
      <c r="N11" s="23">
        <v>139408.32000000001</v>
      </c>
      <c r="O11" s="23">
        <v>137363.70000000001</v>
      </c>
      <c r="P11" s="23">
        <v>143174.1</v>
      </c>
      <c r="Q11" s="23">
        <v>145052.54999999999</v>
      </c>
      <c r="R11" s="23">
        <v>139151.46</v>
      </c>
      <c r="S11" s="23">
        <v>136672.32000000001</v>
      </c>
      <c r="T11" s="23">
        <v>132244.95000000001</v>
      </c>
      <c r="U11" s="23">
        <v>156435.49</v>
      </c>
      <c r="V11" s="23">
        <v>149134.57</v>
      </c>
      <c r="W11" s="23">
        <v>131241.39000000001</v>
      </c>
      <c r="X11" s="23">
        <v>142869.78</v>
      </c>
      <c r="Y11" s="23">
        <v>149048.57999999999</v>
      </c>
      <c r="Z11" s="23">
        <v>122281.1</v>
      </c>
      <c r="AA11" s="23">
        <v>94834</v>
      </c>
      <c r="AB11" s="23">
        <f>115057.96-200</f>
        <v>114857.96</v>
      </c>
      <c r="AC11" s="23">
        <v>84961.58</v>
      </c>
      <c r="AD11" s="23">
        <v>97217.26</v>
      </c>
      <c r="AE11" s="23"/>
      <c r="AF11" s="23"/>
      <c r="AG11" s="23"/>
    </row>
    <row r="12" spans="1:33">
      <c r="A12" s="4" t="s">
        <v>9</v>
      </c>
      <c r="B12" s="23">
        <f>SUM(C12:AG12)</f>
        <v>771268</v>
      </c>
      <c r="C12" s="23">
        <f>8950+19362</f>
        <v>28312</v>
      </c>
      <c r="D12" s="23">
        <f>10150+17901</f>
        <v>28051</v>
      </c>
      <c r="E12" s="23">
        <f>9850+22712</f>
        <v>32562</v>
      </c>
      <c r="F12" s="23">
        <f>8600+18179</f>
        <v>26779</v>
      </c>
      <c r="G12" s="23">
        <f>9300+16280</f>
        <v>25580</v>
      </c>
      <c r="H12" s="23">
        <f>9100+23008</f>
        <v>32108</v>
      </c>
      <c r="I12" s="23">
        <f>9689+17605</f>
        <v>27294</v>
      </c>
      <c r="J12" s="23">
        <f>10050+18072</f>
        <v>28122</v>
      </c>
      <c r="K12" s="23">
        <f>10250+14648</f>
        <v>24898</v>
      </c>
      <c r="L12" s="23">
        <f>9100+18049</f>
        <v>27149</v>
      </c>
      <c r="M12" s="23">
        <f>9500+18215</f>
        <v>27715</v>
      </c>
      <c r="N12" s="23">
        <f>9700+18878</f>
        <v>28578</v>
      </c>
      <c r="O12" s="23">
        <f>9900+15571</f>
        <v>25471</v>
      </c>
      <c r="P12" s="23">
        <f>9800+12940</f>
        <v>22740</v>
      </c>
      <c r="Q12" s="23">
        <f>9800+15605</f>
        <v>25405</v>
      </c>
      <c r="R12" s="23">
        <f>10100+17050</f>
        <v>27150</v>
      </c>
      <c r="S12" s="23">
        <f>9300+17888</f>
        <v>27188</v>
      </c>
      <c r="T12" s="23">
        <f>8850+16055</f>
        <v>24905</v>
      </c>
      <c r="U12" s="23">
        <f>11489+15306</f>
        <v>26795</v>
      </c>
      <c r="V12" s="23">
        <f>10150+12927</f>
        <v>23077</v>
      </c>
      <c r="W12" s="23">
        <f>8650+16870</f>
        <v>25520</v>
      </c>
      <c r="X12" s="23">
        <f>8900+11342</f>
        <v>20242</v>
      </c>
      <c r="Y12" s="23">
        <v>34570</v>
      </c>
      <c r="Z12" s="23">
        <f>1625+8750+19795+143</f>
        <v>30313</v>
      </c>
      <c r="AA12" s="23">
        <f>2435+1732+7300+22235</f>
        <v>33702</v>
      </c>
      <c r="AB12" s="23">
        <f>1470+2210+8950+20705</f>
        <v>33335</v>
      </c>
      <c r="AC12" s="23">
        <f>7750+18010+1535</f>
        <v>27295</v>
      </c>
      <c r="AD12" s="23">
        <f>1045+2301+8150+13729+1187</f>
        <v>26412</v>
      </c>
      <c r="AE12" s="23"/>
      <c r="AF12" s="23"/>
      <c r="AG12" s="23"/>
    </row>
    <row r="13" spans="1:33">
      <c r="A13" s="8" t="s">
        <v>10</v>
      </c>
      <c r="B13" s="23">
        <f>SUM(C13:AG13)</f>
        <v>434312.05999999994</v>
      </c>
      <c r="C13" s="24">
        <f>160568.87-C12-C11</f>
        <v>7662.0499999999884</v>
      </c>
      <c r="D13" s="24">
        <f>183077.33-D12-D11</f>
        <v>16434.51999999999</v>
      </c>
      <c r="E13" s="24">
        <f>174558.05-E12-E11</f>
        <v>10736.349999999977</v>
      </c>
      <c r="F13" s="24">
        <f>204847.6-F12-F11</f>
        <v>71372.400000000009</v>
      </c>
      <c r="G13" s="24">
        <f>154569.34-G12-G11</f>
        <v>9380.5699999999924</v>
      </c>
      <c r="H13" s="24">
        <f>151202.38-H12-H11</f>
        <v>7069.6000000000058</v>
      </c>
      <c r="I13" s="24">
        <f>173448.94-I12-I11</f>
        <v>11504.489999999991</v>
      </c>
      <c r="J13" s="24">
        <f>171619.7-J12-J11</f>
        <v>9888.1100000000151</v>
      </c>
      <c r="K13" s="23">
        <f>181989.09-K12-K11</f>
        <v>18150.449999999983</v>
      </c>
      <c r="L13" s="23">
        <f>168860.6-L12-L11</f>
        <v>11546.350000000006</v>
      </c>
      <c r="M13" s="23">
        <f>177648.26-M12-M11</f>
        <v>14174.75</v>
      </c>
      <c r="N13" s="23">
        <f>185909.26-N12-N11</f>
        <v>17922.940000000002</v>
      </c>
      <c r="O13" s="23">
        <f>169214.6-O12-O11</f>
        <v>6379.8999999999942</v>
      </c>
      <c r="P13" s="23">
        <f>172968.29-P12-P11</f>
        <v>7054.1900000000023</v>
      </c>
      <c r="Q13" s="23">
        <f>181024.95-Q12-Q11</f>
        <v>10567.400000000023</v>
      </c>
      <c r="R13" s="23">
        <f>174908.36-R12-R11</f>
        <v>8606.8999999999942</v>
      </c>
      <c r="S13" s="23">
        <f>188009.57-S12-S11</f>
        <v>24149.25</v>
      </c>
      <c r="T13" s="23">
        <f>172171.2-T12-T11</f>
        <v>15021.25</v>
      </c>
      <c r="U13" s="23">
        <f>190557.16-U12-U11</f>
        <v>7326.6700000000128</v>
      </c>
      <c r="V13" s="23">
        <f>189248.62-V12-V11</f>
        <v>17037.049999999988</v>
      </c>
      <c r="W13" s="23">
        <f>171663.49-W12-W11</f>
        <v>14902.099999999977</v>
      </c>
      <c r="X13" s="23">
        <f>180998.8-X12-X11</f>
        <v>17887.01999999999</v>
      </c>
      <c r="Y13" s="23">
        <f>184355.53-Y12-Y11</f>
        <v>736.95000000001164</v>
      </c>
      <c r="Z13" s="23">
        <f>162230.15-Z12-Z11</f>
        <v>9636.0499999999884</v>
      </c>
      <c r="AA13" s="23">
        <f>130046.55-AA12-AA11</f>
        <v>1510.5500000000029</v>
      </c>
      <c r="AB13" s="23">
        <f>222271.36-AB12-AB11</f>
        <v>74078.39999999998</v>
      </c>
      <c r="AC13" s="23">
        <f>121930.28-AC12-AC11</f>
        <v>9673.6999999999971</v>
      </c>
      <c r="AD13" s="23">
        <f>127531.36-AD11-AD12</f>
        <v>3902.1000000000058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4827429.6899999995</v>
      </c>
      <c r="C14" s="18">
        <f>SUM(C11:C13)</f>
        <v>160568.87</v>
      </c>
      <c r="D14" s="18">
        <f t="shared" ref="D14:AD14" si="6">SUM(D11:D13)</f>
        <v>183077.33</v>
      </c>
      <c r="E14" s="18">
        <f t="shared" si="6"/>
        <v>174558.05</v>
      </c>
      <c r="F14" s="18">
        <f t="shared" si="6"/>
        <v>204847.60000000003</v>
      </c>
      <c r="G14" s="18">
        <f t="shared" si="6"/>
        <v>154569.34000000003</v>
      </c>
      <c r="H14" s="18">
        <f t="shared" si="6"/>
        <v>151202.38</v>
      </c>
      <c r="I14" s="18">
        <f t="shared" si="6"/>
        <v>173448.94</v>
      </c>
      <c r="J14" s="18">
        <f t="shared" si="6"/>
        <v>171619.7</v>
      </c>
      <c r="K14" s="18">
        <f t="shared" si="6"/>
        <v>181989.09</v>
      </c>
      <c r="L14" s="18">
        <f t="shared" si="6"/>
        <v>168860.6</v>
      </c>
      <c r="M14" s="18">
        <f t="shared" si="6"/>
        <v>177648.26</v>
      </c>
      <c r="N14" s="18">
        <f t="shared" si="6"/>
        <v>185909.26</v>
      </c>
      <c r="O14" s="18">
        <f t="shared" si="6"/>
        <v>169214.6</v>
      </c>
      <c r="P14" s="18">
        <f t="shared" si="6"/>
        <v>172968.29</v>
      </c>
      <c r="Q14" s="18">
        <f t="shared" si="6"/>
        <v>181024.95</v>
      </c>
      <c r="R14" s="18">
        <f t="shared" si="6"/>
        <v>174908.36</v>
      </c>
      <c r="S14" s="18">
        <f t="shared" si="6"/>
        <v>188009.57</v>
      </c>
      <c r="T14" s="18">
        <f t="shared" si="6"/>
        <v>172171.2</v>
      </c>
      <c r="U14" s="18">
        <f t="shared" si="6"/>
        <v>190557.16</v>
      </c>
      <c r="V14" s="18">
        <f t="shared" si="6"/>
        <v>189248.62</v>
      </c>
      <c r="W14" s="18">
        <f t="shared" si="6"/>
        <v>171663.49</v>
      </c>
      <c r="X14" s="18">
        <f t="shared" si="6"/>
        <v>180998.8</v>
      </c>
      <c r="Y14" s="18">
        <f t="shared" si="6"/>
        <v>184355.53</v>
      </c>
      <c r="Z14" s="18">
        <f t="shared" si="6"/>
        <v>162230.15</v>
      </c>
      <c r="AA14" s="18">
        <f t="shared" si="6"/>
        <v>130046.55</v>
      </c>
      <c r="AB14" s="18">
        <f t="shared" si="6"/>
        <v>222271.35999999999</v>
      </c>
      <c r="AC14" s="18">
        <f t="shared" si="6"/>
        <v>121930.28</v>
      </c>
      <c r="AD14" s="18">
        <f t="shared" si="6"/>
        <v>127531.36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7">SUM(C15:AG15)</f>
        <v>1456968</v>
      </c>
      <c r="C15" s="23">
        <f>19362+2343+70+9000-2220</f>
        <v>28555</v>
      </c>
      <c r="D15" s="23">
        <f>17901+1996+5040+12300-4000</f>
        <v>33237</v>
      </c>
      <c r="E15" s="23">
        <f>22672+5184+40+21300-4802</f>
        <v>44394</v>
      </c>
      <c r="F15" s="23">
        <f>18179+3304+5587+42900-5741</f>
        <v>64229</v>
      </c>
      <c r="G15" s="23">
        <f>16280+3683+12875+68500-7573</f>
        <v>93765</v>
      </c>
      <c r="H15" s="23">
        <f>23008+3514+7300-6308</f>
        <v>27514</v>
      </c>
      <c r="I15" s="23">
        <f>17605+2651+2000+21000-7315</f>
        <v>35941</v>
      </c>
      <c r="J15" s="23">
        <f>18072+4518+530+16700-7225</f>
        <v>32595</v>
      </c>
      <c r="K15" s="23">
        <f>14912+4097+354+111900-2925</f>
        <v>128338</v>
      </c>
      <c r="L15" s="23">
        <f>18049+7001+1585+47800-12260</f>
        <v>62175</v>
      </c>
      <c r="M15" s="23">
        <f>19420+6001+155+18400-9587</f>
        <v>34389</v>
      </c>
      <c r="N15" s="23">
        <f>18878+4220+7993+51500-3825</f>
        <v>78766</v>
      </c>
      <c r="O15" s="23">
        <f>16477+2581+8200-10965</f>
        <v>16293</v>
      </c>
      <c r="P15" s="23">
        <f>13224+2546+40+52700-13680</f>
        <v>54830</v>
      </c>
      <c r="Q15" s="23">
        <f>15605+5003+140+8000-5079</f>
        <v>23669</v>
      </c>
      <c r="R15" s="23">
        <f>17050+3817+7794+13400-15863</f>
        <v>26198</v>
      </c>
      <c r="S15" s="23">
        <f>17888+3008+3411+22000-4575</f>
        <v>41732</v>
      </c>
      <c r="T15" s="23">
        <f>16105+3883+4000+48500-12785</f>
        <v>59703</v>
      </c>
      <c r="U15" s="23">
        <f>15306+3442+395+21200-8750</f>
        <v>31593</v>
      </c>
      <c r="V15" s="23">
        <f>12628+9149+100+25800-7440</f>
        <v>40237</v>
      </c>
      <c r="W15" s="23">
        <f>16351+6145+4521+49000-5870</f>
        <v>70147</v>
      </c>
      <c r="X15" s="23">
        <f>11485+2845+21950+15000-3950</f>
        <v>47330</v>
      </c>
      <c r="Y15" s="23">
        <f>17161+3696+3387+132500-12550</f>
        <v>144194</v>
      </c>
      <c r="Z15" s="23">
        <f>19938+4368+330+22250-13745</f>
        <v>33141</v>
      </c>
      <c r="AA15" s="23">
        <f>21835+1402+2493+50700-10070</f>
        <v>66360</v>
      </c>
      <c r="AB15" s="23">
        <f>20705+2210+1060+27900-13835</f>
        <v>38040</v>
      </c>
      <c r="AC15" s="23">
        <f>17181+4164+200+17400-8789</f>
        <v>30156</v>
      </c>
      <c r="AD15" s="23">
        <f>14916+2301+106+56649-4525</f>
        <v>69447</v>
      </c>
      <c r="AE15" s="23"/>
      <c r="AF15" s="23"/>
      <c r="AG15" s="23"/>
    </row>
    <row r="16" spans="1:33">
      <c r="A16" s="16" t="s">
        <v>16</v>
      </c>
      <c r="B16" s="23">
        <f t="shared" si="7"/>
        <v>2475741.2000000002</v>
      </c>
      <c r="C16" s="23">
        <f>11423.15+31298.8+1000</f>
        <v>43721.95</v>
      </c>
      <c r="D16" s="23">
        <f>44001.2+61000+13483.08</f>
        <v>118484.28</v>
      </c>
      <c r="E16" s="23">
        <v>108543.55</v>
      </c>
      <c r="F16" s="23">
        <f>46939.13+1000+2652.46</f>
        <v>50591.59</v>
      </c>
      <c r="G16" s="23">
        <v>79386.259999999995</v>
      </c>
      <c r="H16" s="23">
        <f>1809+39626.53+28800+32000</f>
        <v>102235.53</v>
      </c>
      <c r="I16" s="23">
        <f>5169+35392.35+78750</f>
        <v>119311.35</v>
      </c>
      <c r="J16" s="23">
        <f>391+61678.26+28800</f>
        <v>90869.260000000009</v>
      </c>
      <c r="K16" s="23">
        <v>5443.2</v>
      </c>
      <c r="L16" s="23">
        <f>38752.48+62400+19200</f>
        <v>120352.48000000001</v>
      </c>
      <c r="M16" s="23">
        <f>67577.2+78800+30000</f>
        <v>176377.2</v>
      </c>
      <c r="N16" s="23">
        <f>2500+12322.12+25800.3+2400.3</f>
        <v>43022.720000000001</v>
      </c>
      <c r="O16" s="23">
        <f>5443.2+8000+8500</f>
        <v>21943.200000000001</v>
      </c>
      <c r="P16" s="23">
        <f>59605.98+69500+21000</f>
        <v>150105.98000000001</v>
      </c>
      <c r="Q16" s="23">
        <f>67102.28+23950</f>
        <v>91052.28</v>
      </c>
      <c r="R16" s="23">
        <f>55279.25+24000+3500</f>
        <v>82779.25</v>
      </c>
      <c r="S16" s="23">
        <f>23699.99+45750+56959.42</f>
        <v>126409.41</v>
      </c>
      <c r="T16" s="23">
        <f>82486.25+23700</f>
        <v>106186.25</v>
      </c>
      <c r="U16" s="23">
        <f>117094.56+40230.07</f>
        <v>157324.63</v>
      </c>
      <c r="V16" s="23">
        <f>44286.84+1520.61</f>
        <v>45807.45</v>
      </c>
      <c r="W16" s="23">
        <f>65670.49+19000.8+16300</f>
        <v>100971.29000000001</v>
      </c>
      <c r="X16" s="23">
        <f>17039.41+52000+6000.4</f>
        <v>75039.81</v>
      </c>
      <c r="Y16" s="23">
        <f>5515+106001.19+37200+38000</f>
        <v>186716.19</v>
      </c>
      <c r="Z16" s="23">
        <f>25103.61+6400.2+7000</f>
        <v>38503.81</v>
      </c>
      <c r="AA16" s="23">
        <f>4000+43641.06+30000+2000</f>
        <v>79641.06</v>
      </c>
      <c r="AB16" s="23">
        <f>12150.2+49127.02+25200+10400</f>
        <v>96877.22</v>
      </c>
      <c r="AC16" s="23">
        <f>44468.38+3900</f>
        <v>48368.38</v>
      </c>
      <c r="AD16" s="23">
        <f>775+3900.62+1500+3500</f>
        <v>9675.619999999999</v>
      </c>
      <c r="AE16" s="23"/>
      <c r="AF16" s="23"/>
      <c r="AG16" s="23"/>
    </row>
    <row r="17" spans="1:33">
      <c r="A17" s="16" t="s">
        <v>17</v>
      </c>
      <c r="B17" s="23">
        <f t="shared" si="7"/>
        <v>192240</v>
      </c>
      <c r="C17" s="23"/>
      <c r="D17" s="23"/>
      <c r="E17" s="23"/>
      <c r="F17" s="23"/>
      <c r="G17" s="23"/>
      <c r="H17" s="23"/>
      <c r="I17" s="23">
        <v>1900</v>
      </c>
      <c r="J17" s="23">
        <v>2900</v>
      </c>
      <c r="K17" s="23"/>
      <c r="L17" s="23"/>
      <c r="M17" s="23"/>
      <c r="N17" s="23"/>
      <c r="O17" s="23"/>
      <c r="P17" s="23">
        <v>20900</v>
      </c>
      <c r="Q17" s="23">
        <v>6600</v>
      </c>
      <c r="R17" s="23">
        <v>24640</v>
      </c>
      <c r="S17" s="23"/>
      <c r="T17" s="23"/>
      <c r="U17" s="23"/>
      <c r="V17" s="23"/>
      <c r="W17" s="23">
        <v>59670</v>
      </c>
      <c r="X17" s="23">
        <v>23200</v>
      </c>
      <c r="Y17" s="23"/>
      <c r="Z17" s="23">
        <v>6800</v>
      </c>
      <c r="AA17" s="23">
        <v>27150</v>
      </c>
      <c r="AB17" s="23"/>
      <c r="AC17" s="23"/>
      <c r="AD17" s="23">
        <v>18480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386030</v>
      </c>
      <c r="C19" s="23"/>
      <c r="D19" s="23"/>
      <c r="E19" s="23"/>
      <c r="F19" s="23">
        <v>20405</v>
      </c>
      <c r="G19" s="23"/>
      <c r="H19" s="23"/>
      <c r="I19" s="23">
        <v>22374</v>
      </c>
      <c r="J19" s="23">
        <v>28700</v>
      </c>
      <c r="K19" s="23"/>
      <c r="L19" s="23"/>
      <c r="M19" s="23"/>
      <c r="N19" s="23"/>
      <c r="O19" s="23">
        <v>8200</v>
      </c>
      <c r="P19" s="23"/>
      <c r="Q19" s="23"/>
      <c r="R19" s="23">
        <v>4200</v>
      </c>
      <c r="S19" s="23"/>
      <c r="T19" s="23">
        <v>105800</v>
      </c>
      <c r="U19" s="23"/>
      <c r="V19" s="23"/>
      <c r="W19" s="23"/>
      <c r="X19" s="23">
        <v>9600</v>
      </c>
      <c r="Y19" s="23"/>
      <c r="Z19" s="23"/>
      <c r="AA19" s="23">
        <v>62850</v>
      </c>
      <c r="AB19" s="23">
        <v>2000</v>
      </c>
      <c r="AC19" s="23"/>
      <c r="AD19" s="23">
        <v>121901</v>
      </c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370206.76</v>
      </c>
      <c r="C21" s="23">
        <v>9900</v>
      </c>
      <c r="D21" s="23">
        <v>1439.76</v>
      </c>
      <c r="E21" s="23"/>
      <c r="F21" s="23">
        <v>52750</v>
      </c>
      <c r="G21" s="23"/>
      <c r="H21" s="23"/>
      <c r="I21" s="23"/>
      <c r="J21" s="23"/>
      <c r="K21" s="23">
        <v>38874</v>
      </c>
      <c r="L21" s="23">
        <v>27948</v>
      </c>
      <c r="M21" s="23"/>
      <c r="N21" s="23"/>
      <c r="O21" s="23">
        <v>9492</v>
      </c>
      <c r="P21" s="23"/>
      <c r="Q21" s="23">
        <v>2880</v>
      </c>
      <c r="R21" s="23"/>
      <c r="S21" s="23"/>
      <c r="T21" s="23">
        <v>33924</v>
      </c>
      <c r="U21" s="23">
        <v>49314</v>
      </c>
      <c r="V21" s="23"/>
      <c r="W21" s="23">
        <v>8700</v>
      </c>
      <c r="X21" s="23"/>
      <c r="Y21" s="23"/>
      <c r="Z21" s="23"/>
      <c r="AA21" s="23">
        <v>34440</v>
      </c>
      <c r="AB21" s="23">
        <v>98085</v>
      </c>
      <c r="AC21" s="23">
        <v>2460</v>
      </c>
      <c r="AD21" s="23"/>
      <c r="AE21" s="23"/>
      <c r="AF21" s="23"/>
      <c r="AG21" s="23"/>
    </row>
    <row r="22" spans="1:33">
      <c r="A22" s="16" t="s">
        <v>22</v>
      </c>
      <c r="B22" s="23">
        <f t="shared" si="7"/>
        <v>4037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>
        <v>4037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-174230</v>
      </c>
      <c r="C23" s="24">
        <f>1500-4500</f>
        <v>-3000</v>
      </c>
      <c r="D23" s="24">
        <v>1000</v>
      </c>
      <c r="E23" s="24">
        <f>-3000+3500</f>
        <v>500</v>
      </c>
      <c r="F23" s="24">
        <f>-25057.46+3000</f>
        <v>-22057.46</v>
      </c>
      <c r="G23" s="24">
        <v>-15800</v>
      </c>
      <c r="H23" s="24">
        <v>21200</v>
      </c>
      <c r="I23" s="24">
        <f>-32274+11600</f>
        <v>-20674</v>
      </c>
      <c r="J23" s="24">
        <f>-28700+4552.46</f>
        <v>-24147.54</v>
      </c>
      <c r="K23" s="24">
        <f>-2900+29800</f>
        <v>26900</v>
      </c>
      <c r="L23" s="24">
        <f>-5000+1000</f>
        <v>-4000</v>
      </c>
      <c r="M23" s="24">
        <f>-1000+24300</f>
        <v>23300</v>
      </c>
      <c r="N23" s="24">
        <v>-2400.3000000000002</v>
      </c>
      <c r="O23" s="24">
        <f>-10400+7000</f>
        <v>-3400</v>
      </c>
      <c r="P23" s="24">
        <f>-5000+61200</f>
        <v>56200</v>
      </c>
      <c r="Q23" s="24">
        <f>-10500+2400.3</f>
        <v>-8099.7</v>
      </c>
      <c r="R23" s="24">
        <f>-5200+5000</f>
        <v>-200</v>
      </c>
      <c r="S23" s="24"/>
      <c r="T23" s="24">
        <v>-119000</v>
      </c>
      <c r="U23" s="24">
        <f>-5700+23700</f>
        <v>18000</v>
      </c>
      <c r="V23" s="24">
        <f>-1500+5700</f>
        <v>4200</v>
      </c>
      <c r="W23" s="24">
        <v>-16850</v>
      </c>
      <c r="X23" s="24">
        <f>-27000+18400</f>
        <v>-8600</v>
      </c>
      <c r="Y23" s="24">
        <v>11000</v>
      </c>
      <c r="Z23" s="24">
        <f>-6700+1700</f>
        <v>-5000</v>
      </c>
      <c r="AA23" s="24">
        <f>1800-2000</f>
        <v>-200</v>
      </c>
      <c r="AB23" s="24">
        <f>-7000+22000</f>
        <v>15000</v>
      </c>
      <c r="AC23" s="24">
        <f>-4100-1900+5000</f>
        <v>-1000</v>
      </c>
      <c r="AD23" s="24">
        <f>28700-125801</f>
        <v>-97101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4710992.96</v>
      </c>
      <c r="C24" s="19">
        <f>SUM(C15:C23)</f>
        <v>79176.95</v>
      </c>
      <c r="D24" s="19">
        <f t="shared" ref="D24:U24" si="8">SUM(D15:D23)</f>
        <v>154161.04</v>
      </c>
      <c r="E24" s="19">
        <f t="shared" si="8"/>
        <v>153437.54999999999</v>
      </c>
      <c r="F24" s="19">
        <f t="shared" si="8"/>
        <v>165918.13</v>
      </c>
      <c r="G24" s="19">
        <f t="shared" si="8"/>
        <v>157351.26</v>
      </c>
      <c r="H24" s="19">
        <f t="shared" si="8"/>
        <v>150949.53</v>
      </c>
      <c r="I24" s="19">
        <f t="shared" si="8"/>
        <v>158852.35</v>
      </c>
      <c r="J24" s="19">
        <f t="shared" si="8"/>
        <v>130916.72</v>
      </c>
      <c r="K24" s="19">
        <f t="shared" si="8"/>
        <v>199555.20000000001</v>
      </c>
      <c r="L24" s="19">
        <f t="shared" si="8"/>
        <v>206475.48</v>
      </c>
      <c r="M24" s="19">
        <f t="shared" si="8"/>
        <v>234066.2</v>
      </c>
      <c r="N24" s="19">
        <f t="shared" si="8"/>
        <v>119388.42</v>
      </c>
      <c r="O24" s="19">
        <f t="shared" si="8"/>
        <v>56565.2</v>
      </c>
      <c r="P24" s="19">
        <f t="shared" si="8"/>
        <v>282035.98</v>
      </c>
      <c r="Q24" s="19">
        <f t="shared" si="8"/>
        <v>116101.58</v>
      </c>
      <c r="R24" s="19">
        <f t="shared" si="8"/>
        <v>137617.25</v>
      </c>
      <c r="S24" s="19">
        <f t="shared" si="8"/>
        <v>168141.41</v>
      </c>
      <c r="T24" s="19">
        <f t="shared" si="8"/>
        <v>186613.25</v>
      </c>
      <c r="U24" s="19">
        <f t="shared" si="8"/>
        <v>256231.63</v>
      </c>
      <c r="V24" s="19">
        <f>SUM(V15:V23)</f>
        <v>90244.45</v>
      </c>
      <c r="W24" s="19">
        <f t="shared" ref="W24:AD24" si="9">SUM(W15:W23)</f>
        <v>222638.29</v>
      </c>
      <c r="X24" s="19">
        <f t="shared" si="9"/>
        <v>146569.81</v>
      </c>
      <c r="Y24" s="19">
        <f t="shared" si="9"/>
        <v>341910.19</v>
      </c>
      <c r="Z24" s="19">
        <f t="shared" si="9"/>
        <v>73444.81</v>
      </c>
      <c r="AA24" s="19">
        <f t="shared" si="9"/>
        <v>270241.06</v>
      </c>
      <c r="AB24" s="19">
        <f t="shared" si="9"/>
        <v>250002.22</v>
      </c>
      <c r="AC24" s="19">
        <f t="shared" si="9"/>
        <v>79984.38</v>
      </c>
      <c r="AD24" s="19">
        <f t="shared" si="9"/>
        <v>122402.62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116436.72999999952</v>
      </c>
      <c r="C25" s="20">
        <f>C10+C14-C24</f>
        <v>-4509944.21</v>
      </c>
      <c r="D25" s="20">
        <f t="shared" ref="D25:AD25" si="10">D10+D14-D24</f>
        <v>-4481027.92</v>
      </c>
      <c r="E25" s="20">
        <f t="shared" si="10"/>
        <v>-4459907.42</v>
      </c>
      <c r="F25" s="20">
        <f t="shared" si="10"/>
        <v>-4420977.95</v>
      </c>
      <c r="G25" s="20">
        <f t="shared" si="10"/>
        <v>-4423759.87</v>
      </c>
      <c r="H25" s="20">
        <f t="shared" si="10"/>
        <v>-4423507.0200000005</v>
      </c>
      <c r="I25" s="20">
        <f t="shared" si="10"/>
        <v>-4408910.43</v>
      </c>
      <c r="J25" s="20">
        <f t="shared" si="10"/>
        <v>-4368207.4499999993</v>
      </c>
      <c r="K25" s="20">
        <f t="shared" si="10"/>
        <v>-4385773.5599999996</v>
      </c>
      <c r="L25" s="20">
        <f t="shared" si="10"/>
        <v>-4423388.4400000004</v>
      </c>
      <c r="M25" s="20">
        <f t="shared" si="10"/>
        <v>-4479806.3800000008</v>
      </c>
      <c r="N25" s="20">
        <f t="shared" si="10"/>
        <v>-4413285.540000001</v>
      </c>
      <c r="O25" s="20">
        <f t="shared" si="10"/>
        <v>-4300636.1400000015</v>
      </c>
      <c r="P25" s="20">
        <f t="shared" si="10"/>
        <v>-4409703.8300000019</v>
      </c>
      <c r="Q25" s="20">
        <f t="shared" si="10"/>
        <v>-4344780.4600000018</v>
      </c>
      <c r="R25" s="20">
        <f t="shared" si="10"/>
        <v>-4307489.3500000015</v>
      </c>
      <c r="S25" s="20">
        <f t="shared" si="10"/>
        <v>-4287621.1900000013</v>
      </c>
      <c r="T25" s="20">
        <f t="shared" si="10"/>
        <v>-4302063.2400000012</v>
      </c>
      <c r="U25" s="20">
        <f t="shared" si="10"/>
        <v>-4367737.7100000009</v>
      </c>
      <c r="V25" s="20">
        <f t="shared" si="10"/>
        <v>-4268733.540000001</v>
      </c>
      <c r="W25" s="20">
        <f t="shared" si="10"/>
        <v>-4319708.3400000008</v>
      </c>
      <c r="X25" s="20">
        <f t="shared" si="10"/>
        <v>-4285279.3500000006</v>
      </c>
      <c r="Y25" s="20">
        <f t="shared" si="10"/>
        <v>-4442834.0100000007</v>
      </c>
      <c r="Z25" s="20">
        <f t="shared" si="10"/>
        <v>-4354048.67</v>
      </c>
      <c r="AA25" s="20">
        <f t="shared" si="10"/>
        <v>-4494243.18</v>
      </c>
      <c r="AB25" s="20">
        <f t="shared" si="10"/>
        <v>-4521974.0399999991</v>
      </c>
      <c r="AC25" s="20">
        <f t="shared" si="10"/>
        <v>-4480028.1399999987</v>
      </c>
      <c r="AD25" s="20">
        <f t="shared" si="10"/>
        <v>-4474899.3999999985</v>
      </c>
      <c r="AE25" s="20">
        <f>AE10+AE14-AE24</f>
        <v>-4474899.3999999985</v>
      </c>
      <c r="AF25" s="20">
        <f>AF10+AF14-AF24</f>
        <v>-4474899.3999999985</v>
      </c>
      <c r="AG25" s="20">
        <f>AG10+AG14-AG24</f>
        <v>-4474899.3999999985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30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5320</v>
      </c>
      <c r="C3" s="27">
        <v>190</v>
      </c>
      <c r="D3" s="27">
        <f>C3</f>
        <v>190</v>
      </c>
      <c r="E3" s="27">
        <f t="shared" ref="E3:X3" si="1">D3</f>
        <v>190</v>
      </c>
      <c r="F3" s="27">
        <f t="shared" si="1"/>
        <v>190</v>
      </c>
      <c r="G3" s="27">
        <f t="shared" si="1"/>
        <v>190</v>
      </c>
      <c r="H3" s="27">
        <f t="shared" si="1"/>
        <v>190</v>
      </c>
      <c r="I3" s="27">
        <f t="shared" si="1"/>
        <v>190</v>
      </c>
      <c r="J3" s="27">
        <f t="shared" si="1"/>
        <v>190</v>
      </c>
      <c r="K3" s="27">
        <f t="shared" si="1"/>
        <v>190</v>
      </c>
      <c r="L3" s="27">
        <f t="shared" si="1"/>
        <v>190</v>
      </c>
      <c r="M3" s="27">
        <f t="shared" si="1"/>
        <v>190</v>
      </c>
      <c r="N3" s="27">
        <f t="shared" si="1"/>
        <v>190</v>
      </c>
      <c r="O3" s="27">
        <f t="shared" si="1"/>
        <v>190</v>
      </c>
      <c r="P3" s="27">
        <f t="shared" si="1"/>
        <v>190</v>
      </c>
      <c r="Q3" s="27">
        <f t="shared" si="1"/>
        <v>190</v>
      </c>
      <c r="R3" s="27">
        <f t="shared" si="1"/>
        <v>190</v>
      </c>
      <c r="S3" s="27">
        <f t="shared" si="1"/>
        <v>190</v>
      </c>
      <c r="T3" s="27">
        <f t="shared" si="1"/>
        <v>190</v>
      </c>
      <c r="U3" s="27">
        <f t="shared" si="1"/>
        <v>190</v>
      </c>
      <c r="V3" s="27">
        <f t="shared" si="1"/>
        <v>190</v>
      </c>
      <c r="W3" s="27">
        <f t="shared" si="1"/>
        <v>190</v>
      </c>
      <c r="X3" s="27">
        <f t="shared" si="1"/>
        <v>190</v>
      </c>
      <c r="Y3" s="27">
        <v>190</v>
      </c>
      <c r="Z3" s="27">
        <v>190</v>
      </c>
      <c r="AA3" s="27">
        <v>190</v>
      </c>
      <c r="AB3" s="27">
        <v>190</v>
      </c>
      <c r="AC3" s="27">
        <v>190</v>
      </c>
      <c r="AD3" s="27">
        <v>190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5320</v>
      </c>
      <c r="C5" s="5">
        <f t="shared" ref="C5:AD5" si="2">+C3-C4</f>
        <v>190</v>
      </c>
      <c r="D5" s="5">
        <f t="shared" si="2"/>
        <v>190</v>
      </c>
      <c r="E5" s="5">
        <f t="shared" si="2"/>
        <v>190</v>
      </c>
      <c r="F5" s="5">
        <f t="shared" si="2"/>
        <v>190</v>
      </c>
      <c r="G5" s="5">
        <f t="shared" si="2"/>
        <v>190</v>
      </c>
      <c r="H5" s="5">
        <f t="shared" si="2"/>
        <v>190</v>
      </c>
      <c r="I5" s="5">
        <f t="shared" si="2"/>
        <v>190</v>
      </c>
      <c r="J5" s="5">
        <f t="shared" si="2"/>
        <v>190</v>
      </c>
      <c r="K5" s="5">
        <f t="shared" si="2"/>
        <v>190</v>
      </c>
      <c r="L5" s="5">
        <f t="shared" si="2"/>
        <v>190</v>
      </c>
      <c r="M5" s="5">
        <f t="shared" si="2"/>
        <v>190</v>
      </c>
      <c r="N5" s="5">
        <f t="shared" si="2"/>
        <v>190</v>
      </c>
      <c r="O5" s="5">
        <f t="shared" si="2"/>
        <v>190</v>
      </c>
      <c r="P5" s="5">
        <f t="shared" si="2"/>
        <v>190</v>
      </c>
      <c r="Q5" s="5">
        <f t="shared" si="2"/>
        <v>190</v>
      </c>
      <c r="R5" s="5">
        <f t="shared" si="2"/>
        <v>190</v>
      </c>
      <c r="S5" s="5">
        <f t="shared" si="2"/>
        <v>190</v>
      </c>
      <c r="T5" s="5">
        <f t="shared" si="2"/>
        <v>190</v>
      </c>
      <c r="U5" s="5">
        <f t="shared" si="2"/>
        <v>190</v>
      </c>
      <c r="V5" s="5">
        <f t="shared" si="2"/>
        <v>190</v>
      </c>
      <c r="W5" s="5">
        <f t="shared" si="2"/>
        <v>190</v>
      </c>
      <c r="X5" s="5">
        <f t="shared" si="2"/>
        <v>190</v>
      </c>
      <c r="Y5" s="5">
        <f t="shared" si="2"/>
        <v>190</v>
      </c>
      <c r="Z5" s="5">
        <f t="shared" si="2"/>
        <v>190</v>
      </c>
      <c r="AA5" s="5">
        <f t="shared" si="2"/>
        <v>190</v>
      </c>
      <c r="AB5" s="5">
        <f t="shared" si="2"/>
        <v>190</v>
      </c>
      <c r="AC5" s="5">
        <f t="shared" si="2"/>
        <v>190</v>
      </c>
      <c r="AD5" s="5">
        <f t="shared" si="2"/>
        <v>190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4536</v>
      </c>
      <c r="C6" s="34">
        <v>158</v>
      </c>
      <c r="D6" s="34">
        <v>156</v>
      </c>
      <c r="E6" s="34">
        <v>160</v>
      </c>
      <c r="F6" s="34">
        <v>156</v>
      </c>
      <c r="G6" s="34">
        <v>162</v>
      </c>
      <c r="H6" s="34">
        <v>162</v>
      </c>
      <c r="I6" s="34">
        <v>166</v>
      </c>
      <c r="J6" s="34">
        <v>174</v>
      </c>
      <c r="K6" s="34">
        <v>175</v>
      </c>
      <c r="L6" s="34">
        <v>178</v>
      </c>
      <c r="M6" s="34">
        <v>167</v>
      </c>
      <c r="N6" s="34">
        <v>173</v>
      </c>
      <c r="O6" s="34">
        <v>178</v>
      </c>
      <c r="P6" s="34">
        <v>172</v>
      </c>
      <c r="Q6" s="34">
        <v>165</v>
      </c>
      <c r="R6" s="34">
        <v>172</v>
      </c>
      <c r="S6" s="34">
        <v>162</v>
      </c>
      <c r="T6" s="34">
        <v>141</v>
      </c>
      <c r="U6" s="34">
        <v>140</v>
      </c>
      <c r="V6" s="34">
        <v>149</v>
      </c>
      <c r="W6" s="34">
        <v>155</v>
      </c>
      <c r="X6" s="34">
        <v>164</v>
      </c>
      <c r="Y6" s="34">
        <v>176</v>
      </c>
      <c r="Z6" s="34">
        <v>169</v>
      </c>
      <c r="AA6" s="34">
        <v>161</v>
      </c>
      <c r="AB6" s="34">
        <v>149</v>
      </c>
      <c r="AC6" s="34">
        <v>142</v>
      </c>
      <c r="AD6" s="34">
        <v>154</v>
      </c>
      <c r="AE6" s="34"/>
      <c r="AF6" s="34"/>
      <c r="AG6" s="34"/>
    </row>
    <row r="7" spans="1:33">
      <c r="A7" s="4" t="s">
        <v>4</v>
      </c>
      <c r="B7" s="7">
        <f>IF(B6=0,0,B6/B5)</f>
        <v>0.85263157894736841</v>
      </c>
      <c r="C7" s="7">
        <f t="shared" ref="C7:AD7" si="3">IF(C6=0,0,C6/C5)</f>
        <v>0.83157894736842108</v>
      </c>
      <c r="D7" s="7">
        <f t="shared" si="3"/>
        <v>0.82105263157894737</v>
      </c>
      <c r="E7" s="7">
        <f t="shared" si="3"/>
        <v>0.84210526315789469</v>
      </c>
      <c r="F7" s="7">
        <f t="shared" si="3"/>
        <v>0.82105263157894737</v>
      </c>
      <c r="G7" s="7">
        <f t="shared" si="3"/>
        <v>0.85263157894736841</v>
      </c>
      <c r="H7" s="7">
        <f t="shared" si="3"/>
        <v>0.85263157894736841</v>
      </c>
      <c r="I7" s="7">
        <f t="shared" si="3"/>
        <v>0.87368421052631584</v>
      </c>
      <c r="J7" s="7">
        <f t="shared" si="3"/>
        <v>0.91578947368421049</v>
      </c>
      <c r="K7" s="7">
        <f t="shared" si="3"/>
        <v>0.92105263157894735</v>
      </c>
      <c r="L7" s="7">
        <f t="shared" si="3"/>
        <v>0.93684210526315792</v>
      </c>
      <c r="M7" s="7">
        <f t="shared" si="3"/>
        <v>0.87894736842105259</v>
      </c>
      <c r="N7" s="7">
        <f t="shared" si="3"/>
        <v>0.91052631578947374</v>
      </c>
      <c r="O7" s="7">
        <f t="shared" si="3"/>
        <v>0.93684210526315792</v>
      </c>
      <c r="P7" s="7">
        <f t="shared" si="3"/>
        <v>0.90526315789473688</v>
      </c>
      <c r="Q7" s="7">
        <f t="shared" si="3"/>
        <v>0.86842105263157898</v>
      </c>
      <c r="R7" s="7">
        <f t="shared" si="3"/>
        <v>0.90526315789473688</v>
      </c>
      <c r="S7" s="7">
        <f t="shared" si="3"/>
        <v>0.85263157894736841</v>
      </c>
      <c r="T7" s="7">
        <f t="shared" si="3"/>
        <v>0.74210526315789471</v>
      </c>
      <c r="U7" s="7">
        <f t="shared" si="3"/>
        <v>0.73684210526315785</v>
      </c>
      <c r="V7" s="7">
        <f t="shared" si="3"/>
        <v>0.78421052631578947</v>
      </c>
      <c r="W7" s="7">
        <f t="shared" si="3"/>
        <v>0.81578947368421051</v>
      </c>
      <c r="X7" s="7">
        <f t="shared" si="3"/>
        <v>0.86315789473684212</v>
      </c>
      <c r="Y7" s="7">
        <f t="shared" si="3"/>
        <v>0.9263157894736842</v>
      </c>
      <c r="Z7" s="7">
        <f t="shared" si="3"/>
        <v>0.88947368421052631</v>
      </c>
      <c r="AA7" s="7">
        <f t="shared" si="3"/>
        <v>0.84736842105263155</v>
      </c>
      <c r="AB7" s="7">
        <f t="shared" si="3"/>
        <v>0.78421052631578947</v>
      </c>
      <c r="AC7" s="7">
        <f t="shared" si="3"/>
        <v>0.74736842105263157</v>
      </c>
      <c r="AD7" s="7">
        <f t="shared" si="3"/>
        <v>0.81052631578947365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560.28081790123463</v>
      </c>
      <c r="C8" s="6">
        <f t="shared" ref="C8:AD8" si="4">IF(C6=0,0,C11/C6)</f>
        <v>563.15468354430379</v>
      </c>
      <c r="D8" s="6">
        <f t="shared" si="4"/>
        <v>563.14391025641021</v>
      </c>
      <c r="E8" s="6">
        <f t="shared" si="4"/>
        <v>562.82156250000003</v>
      </c>
      <c r="F8" s="6">
        <f t="shared" si="4"/>
        <v>530.30634615384611</v>
      </c>
      <c r="G8" s="6">
        <f t="shared" si="4"/>
        <v>554.40611111111104</v>
      </c>
      <c r="H8" s="6">
        <f t="shared" si="4"/>
        <v>552.76</v>
      </c>
      <c r="I8" s="6">
        <f t="shared" si="4"/>
        <v>550.25783132530125</v>
      </c>
      <c r="J8" s="6">
        <f t="shared" si="4"/>
        <v>555.83218390804598</v>
      </c>
      <c r="K8" s="6">
        <f t="shared" si="4"/>
        <v>555.32268571428574</v>
      </c>
      <c r="L8" s="6">
        <f t="shared" si="4"/>
        <v>558.88466292134831</v>
      </c>
      <c r="M8" s="6">
        <f t="shared" si="4"/>
        <v>540.35011976047906</v>
      </c>
      <c r="N8" s="6">
        <f t="shared" si="4"/>
        <v>549.31393063583812</v>
      </c>
      <c r="O8" s="6">
        <f t="shared" si="4"/>
        <v>568.52516853932582</v>
      </c>
      <c r="P8" s="6">
        <f t="shared" si="4"/>
        <v>569.62389534883721</v>
      </c>
      <c r="Q8" s="6">
        <f t="shared" si="4"/>
        <v>562.55339393939391</v>
      </c>
      <c r="R8" s="6">
        <f t="shared" si="4"/>
        <v>580.05412790697676</v>
      </c>
      <c r="S8" s="6">
        <f t="shared" si="4"/>
        <v>593.52043209876547</v>
      </c>
      <c r="T8" s="6">
        <f t="shared" si="4"/>
        <v>547.6251773049645</v>
      </c>
      <c r="U8" s="6">
        <f t="shared" si="4"/>
        <v>548.24800000000005</v>
      </c>
      <c r="V8" s="6">
        <f t="shared" si="4"/>
        <v>528.16046979865769</v>
      </c>
      <c r="W8" s="6">
        <f t="shared" si="4"/>
        <v>547.86941935483867</v>
      </c>
      <c r="X8" s="6">
        <f t="shared" si="4"/>
        <v>564.20280487804871</v>
      </c>
      <c r="Y8" s="6">
        <f t="shared" si="4"/>
        <v>586.43994318181819</v>
      </c>
      <c r="Z8" s="6">
        <f t="shared" si="4"/>
        <v>578.59278106508873</v>
      </c>
      <c r="AA8" s="6">
        <f t="shared" si="4"/>
        <v>570.54981366459629</v>
      </c>
      <c r="AB8" s="6">
        <f t="shared" si="4"/>
        <v>556.86711409395969</v>
      </c>
      <c r="AC8" s="6">
        <f t="shared" si="4"/>
        <v>562.82887323943658</v>
      </c>
      <c r="AD8" s="6">
        <f t="shared" si="4"/>
        <v>575.95376623376626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477.71311842105274</v>
      </c>
      <c r="C9" s="6">
        <f t="shared" ref="C9:AD9" si="5">IF(C11=0,0,C11/C3)</f>
        <v>468.30757894736843</v>
      </c>
      <c r="D9" s="6">
        <f t="shared" si="5"/>
        <v>462.37078947368417</v>
      </c>
      <c r="E9" s="6">
        <f t="shared" si="5"/>
        <v>473.95499999999998</v>
      </c>
      <c r="F9" s="6">
        <f t="shared" si="5"/>
        <v>435.40942105263156</v>
      </c>
      <c r="G9" s="6">
        <f t="shared" si="5"/>
        <v>472.7041578947368</v>
      </c>
      <c r="H9" s="6">
        <f t="shared" si="5"/>
        <v>471.30063157894733</v>
      </c>
      <c r="I9" s="6">
        <f t="shared" si="5"/>
        <v>480.75157894736844</v>
      </c>
      <c r="J9" s="6">
        <f t="shared" si="5"/>
        <v>509.02526315789476</v>
      </c>
      <c r="K9" s="6">
        <f t="shared" si="5"/>
        <v>511.48142105263156</v>
      </c>
      <c r="L9" s="6">
        <f t="shared" si="5"/>
        <v>523.5866842105263</v>
      </c>
      <c r="M9" s="6">
        <f t="shared" si="5"/>
        <v>474.93931578947371</v>
      </c>
      <c r="N9" s="6">
        <f t="shared" si="5"/>
        <v>500.16478947368421</v>
      </c>
      <c r="O9" s="6">
        <f t="shared" si="5"/>
        <v>532.61831578947363</v>
      </c>
      <c r="P9" s="6">
        <f t="shared" si="5"/>
        <v>515.65952631578944</v>
      </c>
      <c r="Q9" s="6">
        <f t="shared" si="5"/>
        <v>488.53321052631577</v>
      </c>
      <c r="R9" s="6">
        <f t="shared" si="5"/>
        <v>525.10163157894738</v>
      </c>
      <c r="S9" s="6">
        <f t="shared" si="5"/>
        <v>506.05426315789475</v>
      </c>
      <c r="T9" s="6">
        <f t="shared" si="5"/>
        <v>406.39552631578943</v>
      </c>
      <c r="U9" s="6">
        <f t="shared" si="5"/>
        <v>403.97221052631579</v>
      </c>
      <c r="V9" s="6">
        <f t="shared" si="5"/>
        <v>414.18900000000002</v>
      </c>
      <c r="W9" s="6">
        <f t="shared" si="5"/>
        <v>446.94610526315785</v>
      </c>
      <c r="X9" s="6">
        <f t="shared" si="5"/>
        <v>486.99610526315786</v>
      </c>
      <c r="Y9" s="6">
        <f t="shared" si="5"/>
        <v>543.22857894736842</v>
      </c>
      <c r="Z9" s="6">
        <f t="shared" si="5"/>
        <v>514.64305263157894</v>
      </c>
      <c r="AA9" s="6">
        <f t="shared" si="5"/>
        <v>483.46589473684213</v>
      </c>
      <c r="AB9" s="6">
        <f t="shared" si="5"/>
        <v>436.70105263157893</v>
      </c>
      <c r="AC9" s="6">
        <f t="shared" si="5"/>
        <v>420.64052631578949</v>
      </c>
      <c r="AD9" s="6">
        <f t="shared" si="5"/>
        <v>466.82568421052633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-2070353.7</v>
      </c>
      <c r="D10" s="29">
        <f t="shared" ref="D10:Y10" si="6">C25</f>
        <v>-2076340.26</v>
      </c>
      <c r="E10" s="29">
        <f t="shared" si="6"/>
        <v>-2019844.53</v>
      </c>
      <c r="F10" s="29">
        <f t="shared" si="6"/>
        <v>-2062912.08</v>
      </c>
      <c r="G10" s="29">
        <f t="shared" si="6"/>
        <v>-2028530.1300000001</v>
      </c>
      <c r="H10" s="29">
        <f t="shared" si="6"/>
        <v>-2046346.34</v>
      </c>
      <c r="I10" s="29">
        <f t="shared" si="6"/>
        <v>-1972794.2200000002</v>
      </c>
      <c r="J10" s="29">
        <f t="shared" si="6"/>
        <v>-2234634.88</v>
      </c>
      <c r="K10" s="29">
        <f t="shared" si="6"/>
        <v>-2282629.94</v>
      </c>
      <c r="L10" s="29">
        <f t="shared" si="6"/>
        <v>-2294368.29</v>
      </c>
      <c r="M10" s="29">
        <f t="shared" si="6"/>
        <v>-2319671.8199999998</v>
      </c>
      <c r="N10" s="29">
        <f t="shared" si="6"/>
        <v>-2279768.3499999996</v>
      </c>
      <c r="O10" s="29">
        <f t="shared" si="6"/>
        <v>-2305538.84</v>
      </c>
      <c r="P10" s="29">
        <f t="shared" si="6"/>
        <v>-2263702.7599999998</v>
      </c>
      <c r="Q10" s="29">
        <f t="shared" si="6"/>
        <v>-2246248.69</v>
      </c>
      <c r="R10" s="29">
        <f t="shared" si="6"/>
        <v>-2212976.38</v>
      </c>
      <c r="S10" s="29">
        <f t="shared" si="6"/>
        <v>-2182186.5699999998</v>
      </c>
      <c r="T10" s="29">
        <f t="shared" si="6"/>
        <v>-2089633.2599999998</v>
      </c>
      <c r="U10" s="29">
        <f t="shared" si="6"/>
        <v>-2026846.8099999998</v>
      </c>
      <c r="V10" s="29">
        <f t="shared" si="6"/>
        <v>-2004678.0899999999</v>
      </c>
      <c r="W10" s="29">
        <f t="shared" si="6"/>
        <v>-2031793.18</v>
      </c>
      <c r="X10" s="29">
        <f t="shared" si="6"/>
        <v>-2055338.7</v>
      </c>
      <c r="Y10" s="29">
        <f t="shared" si="6"/>
        <v>-2054394.44</v>
      </c>
      <c r="Z10" s="29">
        <f t="shared" ref="Z10:AG10" si="7">Y25</f>
        <v>-2084198.21</v>
      </c>
      <c r="AA10" s="29">
        <f t="shared" si="7"/>
        <v>-2047412.53</v>
      </c>
      <c r="AB10" s="29">
        <f t="shared" si="7"/>
        <v>-2005049.09</v>
      </c>
      <c r="AC10" s="29">
        <f t="shared" si="7"/>
        <v>-1956404.5</v>
      </c>
      <c r="AD10" s="29">
        <f t="shared" si="7"/>
        <v>-1867534.3</v>
      </c>
      <c r="AE10" s="29">
        <f t="shared" si="7"/>
        <v>-1864521.06</v>
      </c>
      <c r="AF10" s="29">
        <f t="shared" si="7"/>
        <v>-1864521.06</v>
      </c>
      <c r="AG10" s="29">
        <f t="shared" si="7"/>
        <v>-1864521.06</v>
      </c>
    </row>
    <row r="11" spans="1:33">
      <c r="A11" s="4" t="s">
        <v>8</v>
      </c>
      <c r="B11" s="23">
        <f>SUM(C11:AG11)</f>
        <v>2541433.7900000005</v>
      </c>
      <c r="C11" s="23">
        <v>88978.44</v>
      </c>
      <c r="D11" s="23">
        <v>87850.45</v>
      </c>
      <c r="E11" s="23">
        <v>90051.45</v>
      </c>
      <c r="F11" s="23">
        <v>82727.789999999994</v>
      </c>
      <c r="G11" s="23">
        <v>89813.79</v>
      </c>
      <c r="H11" s="23">
        <v>89547.12</v>
      </c>
      <c r="I11" s="23">
        <v>91342.8</v>
      </c>
      <c r="J11" s="23">
        <v>96714.8</v>
      </c>
      <c r="K11" s="23">
        <v>97181.47</v>
      </c>
      <c r="L11" s="23">
        <v>99481.47</v>
      </c>
      <c r="M11" s="23">
        <v>90238.47</v>
      </c>
      <c r="N11" s="23">
        <v>95031.31</v>
      </c>
      <c r="O11" s="23">
        <v>101197.48</v>
      </c>
      <c r="P11" s="23">
        <v>97975.31</v>
      </c>
      <c r="Q11" s="23">
        <v>92821.31</v>
      </c>
      <c r="R11" s="23">
        <v>99769.31</v>
      </c>
      <c r="S11" s="23">
        <v>96150.31</v>
      </c>
      <c r="T11" s="23">
        <v>77215.149999999994</v>
      </c>
      <c r="U11" s="23">
        <v>76754.720000000001</v>
      </c>
      <c r="V11" s="23">
        <v>78695.91</v>
      </c>
      <c r="W11" s="23">
        <v>84919.76</v>
      </c>
      <c r="X11" s="23">
        <v>92529.26</v>
      </c>
      <c r="Y11" s="23">
        <v>103213.43</v>
      </c>
      <c r="Z11" s="23">
        <v>97782.18</v>
      </c>
      <c r="AA11" s="23">
        <v>91858.52</v>
      </c>
      <c r="AB11" s="23">
        <v>82973.2</v>
      </c>
      <c r="AC11" s="23">
        <v>79921.7</v>
      </c>
      <c r="AD11" s="23">
        <v>88696.88</v>
      </c>
      <c r="AE11" s="23"/>
      <c r="AF11" s="23"/>
      <c r="AG11" s="23"/>
    </row>
    <row r="12" spans="1:33">
      <c r="A12" s="4" t="s">
        <v>9</v>
      </c>
      <c r="B12" s="23">
        <f>SUM(C12:AG12)</f>
        <v>34330</v>
      </c>
      <c r="C12" s="23">
        <v>740</v>
      </c>
      <c r="D12" s="23">
        <v>1160</v>
      </c>
      <c r="E12" s="23">
        <v>1670</v>
      </c>
      <c r="F12" s="23">
        <v>1415</v>
      </c>
      <c r="G12" s="23">
        <v>1185</v>
      </c>
      <c r="H12" s="23">
        <v>1770</v>
      </c>
      <c r="I12" s="23">
        <v>945</v>
      </c>
      <c r="J12" s="23">
        <v>805</v>
      </c>
      <c r="K12" s="23">
        <v>1035</v>
      </c>
      <c r="L12" s="23">
        <v>700</v>
      </c>
      <c r="M12" s="23">
        <v>2300</v>
      </c>
      <c r="N12" s="23">
        <v>1750</v>
      </c>
      <c r="O12" s="23">
        <v>565</v>
      </c>
      <c r="P12" s="23">
        <v>595</v>
      </c>
      <c r="Q12" s="23">
        <v>2500</v>
      </c>
      <c r="R12" s="23">
        <v>1075</v>
      </c>
      <c r="S12" s="23">
        <v>2395</v>
      </c>
      <c r="T12" s="23">
        <v>985</v>
      </c>
      <c r="U12" s="23">
        <v>660</v>
      </c>
      <c r="V12" s="23">
        <v>605</v>
      </c>
      <c r="W12" s="23">
        <v>540</v>
      </c>
      <c r="X12" s="23">
        <v>555</v>
      </c>
      <c r="Y12" s="23">
        <v>1585</v>
      </c>
      <c r="Z12" s="23">
        <v>935</v>
      </c>
      <c r="AA12" s="23">
        <v>680</v>
      </c>
      <c r="AB12" s="23">
        <v>2220</v>
      </c>
      <c r="AC12" s="23">
        <v>1760</v>
      </c>
      <c r="AD12" s="23">
        <v>1200</v>
      </c>
      <c r="AE12" s="23"/>
      <c r="AF12" s="23"/>
      <c r="AG12" s="23"/>
    </row>
    <row r="13" spans="1:33">
      <c r="A13" s="8" t="s">
        <v>10</v>
      </c>
      <c r="B13" s="23">
        <f>SUM(C13:AG13)</f>
        <v>252844.08000000002</v>
      </c>
      <c r="C13" s="24">
        <f>144939.44-C11-C12</f>
        <v>55221</v>
      </c>
      <c r="D13" s="24">
        <f>93661.73-D12-D11</f>
        <v>4651.2799999999988</v>
      </c>
      <c r="E13" s="24">
        <f>101576.45-E12-E11</f>
        <v>9855</v>
      </c>
      <c r="F13" s="24">
        <f>92974.95-F12-F11</f>
        <v>8832.1600000000035</v>
      </c>
      <c r="G13" s="24">
        <f>101920.79-G12-G11</f>
        <v>10922</v>
      </c>
      <c r="H13" s="24">
        <f>99768.12-H12-H11</f>
        <v>8451</v>
      </c>
      <c r="I13" s="24">
        <f>106846.34-I12-I11</f>
        <v>14558.539999999994</v>
      </c>
      <c r="J13" s="24">
        <f>102542.94-J12-J11</f>
        <v>5023.1399999999994</v>
      </c>
      <c r="K13" s="23">
        <f>104636.65-K12-K11</f>
        <v>6420.179999999993</v>
      </c>
      <c r="L13" s="23">
        <f>102081.47-L12-L11</f>
        <v>1900</v>
      </c>
      <c r="M13" s="23">
        <f>98011.47-M12-M11</f>
        <v>5473</v>
      </c>
      <c r="N13" s="23">
        <f>100968.51-N12-N11</f>
        <v>4187.1999999999971</v>
      </c>
      <c r="O13" s="23">
        <f>113699.58-O12-O11</f>
        <v>11937.100000000006</v>
      </c>
      <c r="P13" s="23">
        <f>112536.07-P12-P11</f>
        <v>13965.760000000009</v>
      </c>
      <c r="Q13" s="23">
        <f>105487.31-Q12-Q11</f>
        <v>10166</v>
      </c>
      <c r="R13" s="23">
        <f>102925.31-R12-R11</f>
        <v>2081</v>
      </c>
      <c r="S13" s="23">
        <f>102645.31-S12-S11</f>
        <v>4100</v>
      </c>
      <c r="T13" s="23">
        <f>82176.95-T12-T11</f>
        <v>3976.8000000000029</v>
      </c>
      <c r="U13" s="23">
        <f>81438.22-U12-U11</f>
        <v>4023.5</v>
      </c>
      <c r="V13" s="23">
        <f>73154.91-V12-V11</f>
        <v>-6146</v>
      </c>
      <c r="W13" s="23">
        <f>104123.48-W12-W11</f>
        <v>18663.72</v>
      </c>
      <c r="X13" s="23">
        <f>99632.26-X12-X11</f>
        <v>6548</v>
      </c>
      <c r="Y13" s="23">
        <f>110310.73-Y12-Y11</f>
        <v>5512.3000000000029</v>
      </c>
      <c r="Z13" s="23">
        <f>102953.68-Z12-Z11</f>
        <v>4236.5</v>
      </c>
      <c r="AA13" s="23">
        <f>97378.17-AA12-AA11</f>
        <v>4839.6499999999942</v>
      </c>
      <c r="AB13" s="23">
        <f>97839.59-AB12-AB11</f>
        <v>12646.39</v>
      </c>
      <c r="AC13" s="23">
        <f>92447.2-AC12-AC11</f>
        <v>10765.5</v>
      </c>
      <c r="AD13" s="23">
        <f>99930.24-AD12-AD11</f>
        <v>10033.36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2828607.8700000006</v>
      </c>
      <c r="C14" s="18">
        <f>SUM(C11:C13)</f>
        <v>144939.44</v>
      </c>
      <c r="D14" s="18">
        <f t="shared" ref="D14:AD14" si="8">SUM(D11:D13)</f>
        <v>93661.73</v>
      </c>
      <c r="E14" s="18">
        <f t="shared" si="8"/>
        <v>101576.45</v>
      </c>
      <c r="F14" s="18">
        <f t="shared" si="8"/>
        <v>92974.95</v>
      </c>
      <c r="G14" s="18">
        <f t="shared" si="8"/>
        <v>101920.79</v>
      </c>
      <c r="H14" s="18">
        <f t="shared" si="8"/>
        <v>99768.12</v>
      </c>
      <c r="I14" s="18">
        <f t="shared" si="8"/>
        <v>106846.34</v>
      </c>
      <c r="J14" s="18">
        <f t="shared" si="8"/>
        <v>102542.94</v>
      </c>
      <c r="K14" s="18">
        <f t="shared" si="8"/>
        <v>104636.65</v>
      </c>
      <c r="L14" s="18">
        <f t="shared" si="8"/>
        <v>102081.47</v>
      </c>
      <c r="M14" s="18">
        <f t="shared" si="8"/>
        <v>98011.47</v>
      </c>
      <c r="N14" s="18">
        <f t="shared" si="8"/>
        <v>100968.51</v>
      </c>
      <c r="O14" s="18">
        <f t="shared" si="8"/>
        <v>113699.58</v>
      </c>
      <c r="P14" s="18">
        <f t="shared" si="8"/>
        <v>112536.07</v>
      </c>
      <c r="Q14" s="18">
        <f t="shared" si="8"/>
        <v>105487.31</v>
      </c>
      <c r="R14" s="18">
        <f t="shared" si="8"/>
        <v>102925.31</v>
      </c>
      <c r="S14" s="18">
        <f t="shared" si="8"/>
        <v>102645.31</v>
      </c>
      <c r="T14" s="18">
        <f t="shared" si="8"/>
        <v>82176.95</v>
      </c>
      <c r="U14" s="18">
        <f t="shared" si="8"/>
        <v>81438.22</v>
      </c>
      <c r="V14" s="18">
        <f t="shared" si="8"/>
        <v>73154.91</v>
      </c>
      <c r="W14" s="18">
        <f t="shared" si="8"/>
        <v>104123.48</v>
      </c>
      <c r="X14" s="18">
        <f t="shared" si="8"/>
        <v>99632.26</v>
      </c>
      <c r="Y14" s="18">
        <f t="shared" si="8"/>
        <v>110310.73</v>
      </c>
      <c r="Z14" s="18">
        <f t="shared" si="8"/>
        <v>102953.68</v>
      </c>
      <c r="AA14" s="18">
        <f t="shared" si="8"/>
        <v>97378.17</v>
      </c>
      <c r="AB14" s="18">
        <f t="shared" si="8"/>
        <v>97839.59</v>
      </c>
      <c r="AC14" s="18">
        <f t="shared" si="8"/>
        <v>92447.2</v>
      </c>
      <c r="AD14" s="18">
        <f t="shared" si="8"/>
        <v>99930.240000000005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1973685.23</v>
      </c>
      <c r="C15" s="23">
        <f>52366-7240+47000</f>
        <v>92126</v>
      </c>
      <c r="D15" s="23">
        <f>1564+28900-9373</f>
        <v>21091</v>
      </c>
      <c r="E15" s="23">
        <f>6029+118819-6000</f>
        <v>118848</v>
      </c>
      <c r="F15" s="23">
        <f>4558+69700-16166</f>
        <v>58092</v>
      </c>
      <c r="G15" s="23">
        <f>3360+94505-14528</f>
        <v>83337</v>
      </c>
      <c r="H15" s="23">
        <f>1600+44200-12584</f>
        <v>33216</v>
      </c>
      <c r="I15" s="23">
        <f>2542+328976-19171</f>
        <v>312347</v>
      </c>
      <c r="J15" s="23">
        <f>1285+120848-12341</f>
        <v>109792</v>
      </c>
      <c r="K15" s="23">
        <f>1500+51920-14265</f>
        <v>39155</v>
      </c>
      <c r="L15" s="23">
        <f>2335+99505-9055</f>
        <v>92785</v>
      </c>
      <c r="M15" s="23">
        <f>5873+62200-10965</f>
        <v>57108</v>
      </c>
      <c r="N15" s="23">
        <f>1281+133600-14542</f>
        <v>120339</v>
      </c>
      <c r="O15" s="23">
        <f>4862+82200-27325</f>
        <v>59737</v>
      </c>
      <c r="P15" s="23">
        <f>4992+105343-21669</f>
        <v>88666</v>
      </c>
      <c r="Q15" s="23">
        <f>4011+78430-20576</f>
        <v>61865</v>
      </c>
      <c r="R15" s="23">
        <f>2081+66401-6535</f>
        <v>61947</v>
      </c>
      <c r="S15" s="23">
        <f>2375-20660+31800</f>
        <v>13515</v>
      </c>
      <c r="T15" s="23">
        <f>1263+39300-26692</f>
        <v>13871</v>
      </c>
      <c r="U15" s="23">
        <f>1985+58030-16715</f>
        <v>43300</v>
      </c>
      <c r="V15" s="23">
        <f>3168+63901-17693</f>
        <v>49376</v>
      </c>
      <c r="W15" s="23">
        <f>2250+132934-20419</f>
        <v>114765</v>
      </c>
      <c r="X15" s="23">
        <f>5548+55232-9750</f>
        <v>51030</v>
      </c>
      <c r="Y15" s="23">
        <f>3427+127503-7765</f>
        <v>123165</v>
      </c>
      <c r="Z15" s="23">
        <f>2230+51550-13097</f>
        <v>40683</v>
      </c>
      <c r="AA15" s="23">
        <f>1500+70379-21114.77</f>
        <v>50764.229999999996</v>
      </c>
      <c r="AB15" s="23">
        <f>610+41417-20506</f>
        <v>21521</v>
      </c>
      <c r="AC15" s="23">
        <f>4296+25200-36330</f>
        <v>-6834</v>
      </c>
      <c r="AD15" s="23">
        <f>1500+58140-11562</f>
        <v>48078</v>
      </c>
      <c r="AE15" s="23"/>
      <c r="AF15" s="23"/>
      <c r="AG15" s="23"/>
    </row>
    <row r="16" spans="1:33">
      <c r="A16" s="16" t="s">
        <v>16</v>
      </c>
      <c r="B16" s="23">
        <f t="shared" si="9"/>
        <v>306877</v>
      </c>
      <c r="C16" s="23">
        <f>600+20000</f>
        <v>20600</v>
      </c>
      <c r="D16" s="23"/>
      <c r="E16" s="23">
        <f>649+6500</f>
        <v>7149</v>
      </c>
      <c r="F16" s="23"/>
      <c r="G16" s="23"/>
      <c r="H16" s="23"/>
      <c r="I16" s="23">
        <f>1719+12000</f>
        <v>13719</v>
      </c>
      <c r="J16" s="23">
        <f>610+20336</f>
        <v>20946</v>
      </c>
      <c r="K16" s="23">
        <f>2220+74000</f>
        <v>76220</v>
      </c>
      <c r="L16" s="23"/>
      <c r="M16" s="23"/>
      <c r="N16" s="23"/>
      <c r="O16" s="23">
        <f>926.5+4600</f>
        <v>5526.5</v>
      </c>
      <c r="P16" s="23">
        <f>216+7200</f>
        <v>7416</v>
      </c>
      <c r="Q16" s="23">
        <f>78+7885+2600</f>
        <v>10563</v>
      </c>
      <c r="R16" s="23">
        <v>788.5</v>
      </c>
      <c r="S16" s="23">
        <v>1577</v>
      </c>
      <c r="T16" s="23">
        <v>5519.5</v>
      </c>
      <c r="U16" s="23">
        <f>5969.5+15000</f>
        <v>20969.5</v>
      </c>
      <c r="V16" s="23">
        <f>3694+18000</f>
        <v>21694</v>
      </c>
      <c r="W16" s="23">
        <f>600+3304+20000+5000</f>
        <v>28904</v>
      </c>
      <c r="X16" s="23">
        <v>1577</v>
      </c>
      <c r="Y16" s="23">
        <f>30+5519.5+1000</f>
        <v>6549.5</v>
      </c>
      <c r="Z16" s="23">
        <v>7885</v>
      </c>
      <c r="AA16" s="23">
        <v>10250.5</v>
      </c>
      <c r="AB16" s="23">
        <f>2413+3154+10206</f>
        <v>15773</v>
      </c>
      <c r="AC16" s="23">
        <f>8011+4200</f>
        <v>12211</v>
      </c>
      <c r="AD16" s="23">
        <v>11039</v>
      </c>
      <c r="AE16" s="23"/>
      <c r="AF16" s="23"/>
      <c r="AG16" s="23"/>
    </row>
    <row r="17" spans="1:33">
      <c r="A17" s="16" t="s">
        <v>17</v>
      </c>
      <c r="B17" s="23">
        <f t="shared" si="9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9"/>
        <v>507853</v>
      </c>
      <c r="C19" s="23"/>
      <c r="D19" s="23"/>
      <c r="E19" s="23">
        <v>70008</v>
      </c>
      <c r="F19" s="23">
        <v>59491</v>
      </c>
      <c r="G19" s="23">
        <v>-15700</v>
      </c>
      <c r="H19" s="23">
        <v>86191</v>
      </c>
      <c r="I19" s="23">
        <v>23731</v>
      </c>
      <c r="J19" s="23"/>
      <c r="K19" s="23"/>
      <c r="L19" s="23"/>
      <c r="M19" s="23">
        <v>7200</v>
      </c>
      <c r="N19" s="23">
        <v>31103</v>
      </c>
      <c r="O19" s="23">
        <v>35301</v>
      </c>
      <c r="P19" s="23"/>
      <c r="Q19" s="23">
        <v>3200</v>
      </c>
      <c r="R19" s="23"/>
      <c r="S19" s="23"/>
      <c r="T19" s="23"/>
      <c r="U19" s="23">
        <v>11200</v>
      </c>
      <c r="V19" s="23"/>
      <c r="W19" s="23"/>
      <c r="X19" s="23">
        <v>10400</v>
      </c>
      <c r="Y19" s="23">
        <v>9600</v>
      </c>
      <c r="Z19" s="23">
        <v>45174</v>
      </c>
      <c r="AA19" s="23"/>
      <c r="AB19" s="23">
        <v>28800</v>
      </c>
      <c r="AC19" s="23">
        <v>102154</v>
      </c>
      <c r="AD19" s="23"/>
      <c r="AE19" s="23"/>
      <c r="AF19" s="23"/>
      <c r="AG19" s="23"/>
    </row>
    <row r="20" spans="1:33">
      <c r="A20" s="16" t="s">
        <v>20</v>
      </c>
      <c r="B20" s="23">
        <f t="shared" si="9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9"/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9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9"/>
        <v>-165640</v>
      </c>
      <c r="C23" s="24">
        <f>-16334+11334+41200+2000</f>
        <v>38200</v>
      </c>
      <c r="D23" s="24">
        <v>16075</v>
      </c>
      <c r="E23" s="24">
        <f>-64221+12860</f>
        <v>-51361</v>
      </c>
      <c r="F23" s="24">
        <f>-63491+4501</f>
        <v>-58990</v>
      </c>
      <c r="G23" s="24">
        <f>15500+36600</f>
        <v>52100</v>
      </c>
      <c r="H23" s="24">
        <f>-99191+6000</f>
        <v>-93191</v>
      </c>
      <c r="I23" s="24">
        <f>-29731+48621</f>
        <v>18890</v>
      </c>
      <c r="J23" s="24">
        <f>-5000+24800</f>
        <v>19800</v>
      </c>
      <c r="K23" s="24">
        <v>1000</v>
      </c>
      <c r="L23" s="24">
        <f>-1000+35600</f>
        <v>34600</v>
      </c>
      <c r="M23" s="24">
        <f>-7200+1000</f>
        <v>-6200</v>
      </c>
      <c r="N23" s="24">
        <f>-37103+12400</f>
        <v>-24703</v>
      </c>
      <c r="O23" s="24">
        <f>-2000-40301+13600</f>
        <v>-28701</v>
      </c>
      <c r="P23" s="24">
        <f>-3000+2000</f>
        <v>-1000</v>
      </c>
      <c r="Q23" s="24">
        <f>-1000-11400+8987</f>
        <v>-3413</v>
      </c>
      <c r="R23" s="24">
        <v>9400</v>
      </c>
      <c r="S23" s="24">
        <v>-5000</v>
      </c>
      <c r="T23" s="24">
        <f>-5000+5000</f>
        <v>0</v>
      </c>
      <c r="U23" s="24">
        <v>-16200</v>
      </c>
      <c r="V23" s="24">
        <f>-1000+30200</f>
        <v>29200</v>
      </c>
      <c r="W23" s="24">
        <f>-17000+1000</f>
        <v>-16000</v>
      </c>
      <c r="X23" s="24">
        <f>-10400+46081</f>
        <v>35681</v>
      </c>
      <c r="Y23" s="24">
        <f>-9600+10400</f>
        <v>800</v>
      </c>
      <c r="Z23" s="24">
        <f>-2000-43174+17600</f>
        <v>-27574</v>
      </c>
      <c r="AA23" s="24">
        <v>-6000</v>
      </c>
      <c r="AB23" s="24">
        <f>-28800+11901</f>
        <v>-16899</v>
      </c>
      <c r="AC23" s="24">
        <f>-107154+3200</f>
        <v>-103954</v>
      </c>
      <c r="AD23" s="24">
        <f>-1000+38800</f>
        <v>37800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2622775.23</v>
      </c>
      <c r="C24" s="19">
        <f>SUM(C15:C23)</f>
        <v>150926</v>
      </c>
      <c r="D24" s="19">
        <f t="shared" ref="D24:U24" si="10">SUM(D15:D23)</f>
        <v>37166</v>
      </c>
      <c r="E24" s="19">
        <f t="shared" si="10"/>
        <v>144644</v>
      </c>
      <c r="F24" s="19">
        <f t="shared" si="10"/>
        <v>58593</v>
      </c>
      <c r="G24" s="19">
        <f t="shared" si="10"/>
        <v>119737</v>
      </c>
      <c r="H24" s="19">
        <f t="shared" si="10"/>
        <v>26216</v>
      </c>
      <c r="I24" s="19">
        <f t="shared" si="10"/>
        <v>368687</v>
      </c>
      <c r="J24" s="19">
        <f t="shared" si="10"/>
        <v>150538</v>
      </c>
      <c r="K24" s="19">
        <f t="shared" si="10"/>
        <v>116375</v>
      </c>
      <c r="L24" s="19">
        <f t="shared" si="10"/>
        <v>127385</v>
      </c>
      <c r="M24" s="19">
        <f t="shared" si="10"/>
        <v>58108</v>
      </c>
      <c r="N24" s="19">
        <f t="shared" si="10"/>
        <v>126739</v>
      </c>
      <c r="O24" s="19">
        <f t="shared" si="10"/>
        <v>71863.5</v>
      </c>
      <c r="P24" s="19">
        <f t="shared" si="10"/>
        <v>95082</v>
      </c>
      <c r="Q24" s="19">
        <f t="shared" si="10"/>
        <v>72215</v>
      </c>
      <c r="R24" s="19">
        <f t="shared" si="10"/>
        <v>72135.5</v>
      </c>
      <c r="S24" s="19">
        <f t="shared" si="10"/>
        <v>10092</v>
      </c>
      <c r="T24" s="19">
        <f t="shared" si="10"/>
        <v>19390.5</v>
      </c>
      <c r="U24" s="19">
        <f t="shared" si="10"/>
        <v>59269.5</v>
      </c>
      <c r="V24" s="19">
        <f>SUM(V15:V23)</f>
        <v>100270</v>
      </c>
      <c r="W24" s="19">
        <f t="shared" ref="W24:AD24" si="11">SUM(W15:W23)</f>
        <v>127669</v>
      </c>
      <c r="X24" s="19">
        <f t="shared" si="11"/>
        <v>98688</v>
      </c>
      <c r="Y24" s="19">
        <f t="shared" si="11"/>
        <v>140114.5</v>
      </c>
      <c r="Z24" s="19">
        <f t="shared" si="11"/>
        <v>66168</v>
      </c>
      <c r="AA24" s="19">
        <f t="shared" si="11"/>
        <v>55014.729999999996</v>
      </c>
      <c r="AB24" s="19">
        <f t="shared" si="11"/>
        <v>49195</v>
      </c>
      <c r="AC24" s="19">
        <f t="shared" si="11"/>
        <v>3577</v>
      </c>
      <c r="AD24" s="19">
        <f t="shared" si="11"/>
        <v>96917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205832.6400000006</v>
      </c>
      <c r="C25" s="20">
        <f>C10+C14-C24</f>
        <v>-2076340.26</v>
      </c>
      <c r="D25" s="20">
        <f t="shared" ref="D25:AD25" si="12">D10+D14-D24</f>
        <v>-2019844.53</v>
      </c>
      <c r="E25" s="20">
        <f t="shared" si="12"/>
        <v>-2062912.08</v>
      </c>
      <c r="F25" s="20">
        <f t="shared" si="12"/>
        <v>-2028530.1300000001</v>
      </c>
      <c r="G25" s="20">
        <f t="shared" si="12"/>
        <v>-2046346.34</v>
      </c>
      <c r="H25" s="20">
        <f t="shared" si="12"/>
        <v>-1972794.2200000002</v>
      </c>
      <c r="I25" s="20">
        <f t="shared" si="12"/>
        <v>-2234634.88</v>
      </c>
      <c r="J25" s="20">
        <f t="shared" si="12"/>
        <v>-2282629.94</v>
      </c>
      <c r="K25" s="20">
        <f t="shared" si="12"/>
        <v>-2294368.29</v>
      </c>
      <c r="L25" s="20">
        <f t="shared" si="12"/>
        <v>-2319671.8199999998</v>
      </c>
      <c r="M25" s="20">
        <f t="shared" si="12"/>
        <v>-2279768.3499999996</v>
      </c>
      <c r="N25" s="20">
        <f t="shared" si="12"/>
        <v>-2305538.84</v>
      </c>
      <c r="O25" s="20">
        <f t="shared" si="12"/>
        <v>-2263702.7599999998</v>
      </c>
      <c r="P25" s="20">
        <f t="shared" si="12"/>
        <v>-2246248.69</v>
      </c>
      <c r="Q25" s="20">
        <f t="shared" si="12"/>
        <v>-2212976.38</v>
      </c>
      <c r="R25" s="20">
        <f t="shared" si="12"/>
        <v>-2182186.5699999998</v>
      </c>
      <c r="S25" s="20">
        <f t="shared" si="12"/>
        <v>-2089633.2599999998</v>
      </c>
      <c r="T25" s="20">
        <f t="shared" si="12"/>
        <v>-2026846.8099999998</v>
      </c>
      <c r="U25" s="20">
        <f t="shared" si="12"/>
        <v>-2004678.0899999999</v>
      </c>
      <c r="V25" s="20">
        <f t="shared" si="12"/>
        <v>-2031793.18</v>
      </c>
      <c r="W25" s="20">
        <f t="shared" si="12"/>
        <v>-2055338.7</v>
      </c>
      <c r="X25" s="20">
        <f t="shared" si="12"/>
        <v>-2054394.44</v>
      </c>
      <c r="Y25" s="20">
        <f t="shared" si="12"/>
        <v>-2084198.21</v>
      </c>
      <c r="Z25" s="20">
        <f t="shared" si="12"/>
        <v>-2047412.53</v>
      </c>
      <c r="AA25" s="20">
        <f t="shared" si="12"/>
        <v>-2005049.09</v>
      </c>
      <c r="AB25" s="20">
        <f t="shared" si="12"/>
        <v>-1956404.5</v>
      </c>
      <c r="AC25" s="20">
        <f t="shared" si="12"/>
        <v>-1867534.3</v>
      </c>
      <c r="AD25" s="20">
        <f t="shared" si="12"/>
        <v>-1864521.06</v>
      </c>
      <c r="AE25" s="20">
        <f>AE10+AE14-AE24</f>
        <v>-1864521.06</v>
      </c>
      <c r="AF25" s="20">
        <f>AF10+AF14-AF24</f>
        <v>-1864521.06</v>
      </c>
      <c r="AG25" s="20">
        <f>AG10+AG14-AG24</f>
        <v>-1864521.06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31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3780</v>
      </c>
      <c r="C3" s="27">
        <v>135</v>
      </c>
      <c r="D3" s="27">
        <v>135</v>
      </c>
      <c r="E3" s="27">
        <v>135</v>
      </c>
      <c r="F3" s="27">
        <v>135</v>
      </c>
      <c r="G3" s="27">
        <v>135</v>
      </c>
      <c r="H3" s="27">
        <v>135</v>
      </c>
      <c r="I3" s="27">
        <v>135</v>
      </c>
      <c r="J3" s="27">
        <v>135</v>
      </c>
      <c r="K3" s="27">
        <v>135</v>
      </c>
      <c r="L3" s="27">
        <v>135</v>
      </c>
      <c r="M3" s="27">
        <v>135</v>
      </c>
      <c r="N3" s="27">
        <v>135</v>
      </c>
      <c r="O3" s="27">
        <v>135</v>
      </c>
      <c r="P3" s="27">
        <v>135</v>
      </c>
      <c r="Q3" s="27">
        <v>135</v>
      </c>
      <c r="R3" s="27">
        <v>135</v>
      </c>
      <c r="S3" s="27">
        <v>135</v>
      </c>
      <c r="T3" s="27">
        <v>135</v>
      </c>
      <c r="U3" s="27">
        <v>135</v>
      </c>
      <c r="V3" s="27">
        <v>135</v>
      </c>
      <c r="W3" s="27">
        <v>135</v>
      </c>
      <c r="X3" s="27">
        <v>135</v>
      </c>
      <c r="Y3" s="27">
        <v>135</v>
      </c>
      <c r="Z3" s="27">
        <v>135</v>
      </c>
      <c r="AA3" s="27">
        <v>135</v>
      </c>
      <c r="AB3" s="27">
        <v>135</v>
      </c>
      <c r="AC3" s="27">
        <v>135</v>
      </c>
      <c r="AD3" s="27">
        <v>135</v>
      </c>
      <c r="AE3" s="27"/>
      <c r="AF3" s="27"/>
      <c r="AG3" s="27"/>
    </row>
    <row r="4" spans="1:33">
      <c r="A4" s="31" t="s">
        <v>1</v>
      </c>
      <c r="B4" s="14">
        <f>SUM(C4:AG4)</f>
        <v>1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>
        <v>1</v>
      </c>
      <c r="W4" s="32"/>
      <c r="X4" s="32"/>
      <c r="Y4" s="32"/>
      <c r="Z4" s="32"/>
      <c r="AA4" s="32"/>
      <c r="AB4" s="28"/>
      <c r="AC4" s="28"/>
      <c r="AD4" s="28"/>
      <c r="AE4" s="32"/>
      <c r="AF4" s="32"/>
      <c r="AG4" s="32"/>
    </row>
    <row r="5" spans="1:33">
      <c r="A5" s="4" t="s">
        <v>2</v>
      </c>
      <c r="B5" s="5">
        <f>+B3-B4</f>
        <v>3779</v>
      </c>
      <c r="C5" s="5">
        <f t="shared" ref="C5:AG5" si="1">+C3-C4</f>
        <v>135</v>
      </c>
      <c r="D5" s="5">
        <f t="shared" si="1"/>
        <v>135</v>
      </c>
      <c r="E5" s="5">
        <f t="shared" si="1"/>
        <v>135</v>
      </c>
      <c r="F5" s="5">
        <f t="shared" si="1"/>
        <v>135</v>
      </c>
      <c r="G5" s="5">
        <f t="shared" si="1"/>
        <v>135</v>
      </c>
      <c r="H5" s="5">
        <f t="shared" si="1"/>
        <v>135</v>
      </c>
      <c r="I5" s="5">
        <f t="shared" si="1"/>
        <v>135</v>
      </c>
      <c r="J5" s="5">
        <f t="shared" si="1"/>
        <v>135</v>
      </c>
      <c r="K5" s="5">
        <f t="shared" si="1"/>
        <v>135</v>
      </c>
      <c r="L5" s="5">
        <f t="shared" si="1"/>
        <v>135</v>
      </c>
      <c r="M5" s="5">
        <f t="shared" si="1"/>
        <v>135</v>
      </c>
      <c r="N5" s="5">
        <f t="shared" si="1"/>
        <v>135</v>
      </c>
      <c r="O5" s="5">
        <f t="shared" si="1"/>
        <v>135</v>
      </c>
      <c r="P5" s="5">
        <f t="shared" si="1"/>
        <v>135</v>
      </c>
      <c r="Q5" s="5">
        <f t="shared" si="1"/>
        <v>135</v>
      </c>
      <c r="R5" s="5">
        <f t="shared" si="1"/>
        <v>135</v>
      </c>
      <c r="S5" s="5">
        <f t="shared" si="1"/>
        <v>135</v>
      </c>
      <c r="T5" s="5">
        <f t="shared" si="1"/>
        <v>135</v>
      </c>
      <c r="U5" s="5">
        <f t="shared" si="1"/>
        <v>135</v>
      </c>
      <c r="V5" s="5">
        <f t="shared" si="1"/>
        <v>134</v>
      </c>
      <c r="W5" s="5">
        <f t="shared" si="1"/>
        <v>135</v>
      </c>
      <c r="X5" s="5">
        <f t="shared" si="1"/>
        <v>135</v>
      </c>
      <c r="Y5" s="5">
        <f t="shared" si="1"/>
        <v>135</v>
      </c>
      <c r="Z5" s="5">
        <f t="shared" si="1"/>
        <v>135</v>
      </c>
      <c r="AA5" s="5">
        <f t="shared" si="1"/>
        <v>135</v>
      </c>
      <c r="AB5" s="5">
        <f t="shared" si="1"/>
        <v>135</v>
      </c>
      <c r="AC5" s="5">
        <f t="shared" si="1"/>
        <v>135</v>
      </c>
      <c r="AD5" s="5">
        <f t="shared" si="1"/>
        <v>135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3495</v>
      </c>
      <c r="C6" s="34">
        <v>126</v>
      </c>
      <c r="D6" s="34">
        <v>133</v>
      </c>
      <c r="E6" s="34">
        <v>106</v>
      </c>
      <c r="F6" s="34">
        <v>128</v>
      </c>
      <c r="G6" s="34">
        <v>124</v>
      </c>
      <c r="H6" s="34">
        <v>114</v>
      </c>
      <c r="I6" s="34">
        <v>129</v>
      </c>
      <c r="J6" s="34">
        <v>128</v>
      </c>
      <c r="K6" s="34">
        <v>131</v>
      </c>
      <c r="L6" s="34">
        <v>127</v>
      </c>
      <c r="M6" s="34">
        <v>129</v>
      </c>
      <c r="N6" s="34">
        <v>132</v>
      </c>
      <c r="O6" s="34">
        <v>133</v>
      </c>
      <c r="P6" s="34">
        <v>130</v>
      </c>
      <c r="Q6" s="34">
        <v>135</v>
      </c>
      <c r="R6" s="34">
        <v>132</v>
      </c>
      <c r="S6" s="34">
        <v>117</v>
      </c>
      <c r="T6" s="34">
        <v>129</v>
      </c>
      <c r="U6" s="34">
        <v>131</v>
      </c>
      <c r="V6" s="34">
        <v>131</v>
      </c>
      <c r="W6" s="34">
        <v>132</v>
      </c>
      <c r="X6" s="34">
        <v>133</v>
      </c>
      <c r="Y6" s="34">
        <v>135</v>
      </c>
      <c r="Z6" s="34">
        <v>130</v>
      </c>
      <c r="AA6" s="34">
        <v>98</v>
      </c>
      <c r="AB6" s="34">
        <v>119</v>
      </c>
      <c r="AC6" s="34">
        <v>102</v>
      </c>
      <c r="AD6" s="34">
        <v>101</v>
      </c>
      <c r="AE6" s="34"/>
      <c r="AF6" s="34"/>
      <c r="AG6" s="34"/>
    </row>
    <row r="7" spans="1:33">
      <c r="A7" s="4" t="s">
        <v>4</v>
      </c>
      <c r="B7" s="7">
        <f>IF(B6=0,0,B6/B5)</f>
        <v>0.92484784334480019</v>
      </c>
      <c r="C7" s="7">
        <f t="shared" ref="C7:AG7" si="2">IF(C6=0,0,C6/C5)</f>
        <v>0.93333333333333335</v>
      </c>
      <c r="D7" s="7">
        <f t="shared" si="2"/>
        <v>0.98518518518518516</v>
      </c>
      <c r="E7" s="7">
        <f t="shared" si="2"/>
        <v>0.78518518518518521</v>
      </c>
      <c r="F7" s="7">
        <f t="shared" si="2"/>
        <v>0.94814814814814818</v>
      </c>
      <c r="G7" s="7">
        <f t="shared" si="2"/>
        <v>0.91851851851851851</v>
      </c>
      <c r="H7" s="7">
        <f t="shared" si="2"/>
        <v>0.84444444444444444</v>
      </c>
      <c r="I7" s="7">
        <f t="shared" si="2"/>
        <v>0.9555555555555556</v>
      </c>
      <c r="J7" s="7">
        <f t="shared" si="2"/>
        <v>0.94814814814814818</v>
      </c>
      <c r="K7" s="7">
        <f t="shared" si="2"/>
        <v>0.97037037037037033</v>
      </c>
      <c r="L7" s="7">
        <f t="shared" si="2"/>
        <v>0.94074074074074077</v>
      </c>
      <c r="M7" s="7">
        <f t="shared" si="2"/>
        <v>0.9555555555555556</v>
      </c>
      <c r="N7" s="7">
        <f t="shared" si="2"/>
        <v>0.97777777777777775</v>
      </c>
      <c r="O7" s="7">
        <f t="shared" si="2"/>
        <v>0.98518518518518516</v>
      </c>
      <c r="P7" s="7">
        <f t="shared" si="2"/>
        <v>0.96296296296296291</v>
      </c>
      <c r="Q7" s="7">
        <f t="shared" si="2"/>
        <v>1</v>
      </c>
      <c r="R7" s="7">
        <f t="shared" si="2"/>
        <v>0.97777777777777775</v>
      </c>
      <c r="S7" s="7">
        <f t="shared" si="2"/>
        <v>0.8666666666666667</v>
      </c>
      <c r="T7" s="7">
        <f t="shared" si="2"/>
        <v>0.9555555555555556</v>
      </c>
      <c r="U7" s="7">
        <f t="shared" si="2"/>
        <v>0.97037037037037033</v>
      </c>
      <c r="V7" s="7">
        <f t="shared" si="2"/>
        <v>0.97761194029850751</v>
      </c>
      <c r="W7" s="7">
        <f t="shared" si="2"/>
        <v>0.97777777777777775</v>
      </c>
      <c r="X7" s="7">
        <f t="shared" si="2"/>
        <v>0.98518518518518516</v>
      </c>
      <c r="Y7" s="7">
        <f t="shared" si="2"/>
        <v>1</v>
      </c>
      <c r="Z7" s="7">
        <f t="shared" si="2"/>
        <v>0.96296296296296291</v>
      </c>
      <c r="AA7" s="7">
        <f t="shared" si="2"/>
        <v>0.72592592592592597</v>
      </c>
      <c r="AB7" s="7">
        <f t="shared" si="2"/>
        <v>0.88148148148148153</v>
      </c>
      <c r="AC7" s="7">
        <f t="shared" si="2"/>
        <v>0.75555555555555554</v>
      </c>
      <c r="AD7" s="7">
        <f t="shared" si="2"/>
        <v>0.74814814814814812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1074.197158798283</v>
      </c>
      <c r="C8" s="6">
        <f t="shared" ref="C8:AG8" si="3">IF(C6=0,0,C11/C6)</f>
        <v>1069.3185714285714</v>
      </c>
      <c r="D8" s="6">
        <f t="shared" si="3"/>
        <v>1086.3345864661653</v>
      </c>
      <c r="E8" s="6">
        <f t="shared" si="3"/>
        <v>935.19169811320762</v>
      </c>
      <c r="F8" s="6">
        <f t="shared" si="3"/>
        <v>1145.6642187499999</v>
      </c>
      <c r="G8" s="6">
        <f t="shared" si="3"/>
        <v>1234.1538709677418</v>
      </c>
      <c r="H8" s="6">
        <f t="shared" si="3"/>
        <v>1250.1408771929825</v>
      </c>
      <c r="I8" s="6">
        <f t="shared" si="3"/>
        <v>1148.6458914728682</v>
      </c>
      <c r="J8" s="6">
        <f t="shared" si="3"/>
        <v>1225.9754687499999</v>
      </c>
      <c r="K8" s="6">
        <f t="shared" si="3"/>
        <v>1398.0821374045802</v>
      </c>
      <c r="L8" s="6">
        <f t="shared" si="3"/>
        <v>1254.7563779527559</v>
      </c>
      <c r="M8" s="6">
        <f t="shared" si="3"/>
        <v>1218.6444961240309</v>
      </c>
      <c r="N8" s="6">
        <f t="shared" si="3"/>
        <v>1136.5174999999999</v>
      </c>
      <c r="O8" s="6">
        <f t="shared" si="3"/>
        <v>1094.262932330827</v>
      </c>
      <c r="P8" s="6">
        <f t="shared" si="3"/>
        <v>1059.4747692307692</v>
      </c>
      <c r="Q8" s="6">
        <f t="shared" si="3"/>
        <v>984.78088888888897</v>
      </c>
      <c r="R8" s="6">
        <f t="shared" si="3"/>
        <v>932.20530303030307</v>
      </c>
      <c r="S8" s="6">
        <f t="shared" si="3"/>
        <v>999.97658119658115</v>
      </c>
      <c r="T8" s="6">
        <f t="shared" si="3"/>
        <v>848.55519379844952</v>
      </c>
      <c r="U8" s="6">
        <f t="shared" si="3"/>
        <v>771.90740458015262</v>
      </c>
      <c r="V8" s="6">
        <f t="shared" si="3"/>
        <v>854.57793893129781</v>
      </c>
      <c r="W8" s="6">
        <f t="shared" si="3"/>
        <v>835.61712121212122</v>
      </c>
      <c r="X8" s="6">
        <f t="shared" si="3"/>
        <v>869.52165413533839</v>
      </c>
      <c r="Y8" s="6">
        <f t="shared" si="3"/>
        <v>1213.9059999999999</v>
      </c>
      <c r="Z8" s="6">
        <f t="shared" si="3"/>
        <v>1278.0303846153847</v>
      </c>
      <c r="AA8" s="6">
        <f t="shared" si="3"/>
        <v>1357.2558163265307</v>
      </c>
      <c r="AB8" s="6">
        <f t="shared" si="3"/>
        <v>944.85176470588237</v>
      </c>
      <c r="AC8" s="6">
        <f t="shared" si="3"/>
        <v>1021.6048039215686</v>
      </c>
      <c r="AD8" s="6">
        <f t="shared" si="3"/>
        <v>935.94663366336636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993.20610317460296</v>
      </c>
      <c r="C9" s="6">
        <f t="shared" ref="C9:AG9" si="4">IF(C11=0,0,C11/C3)</f>
        <v>998.03066666666678</v>
      </c>
      <c r="D9" s="6">
        <f t="shared" si="4"/>
        <v>1070.2407407407406</v>
      </c>
      <c r="E9" s="6">
        <f t="shared" si="4"/>
        <v>734.29866666666669</v>
      </c>
      <c r="F9" s="6">
        <f t="shared" si="4"/>
        <v>1086.2594074074073</v>
      </c>
      <c r="G9" s="6">
        <f t="shared" si="4"/>
        <v>1133.5931851851851</v>
      </c>
      <c r="H9" s="6">
        <f t="shared" si="4"/>
        <v>1055.6745185185184</v>
      </c>
      <c r="I9" s="6">
        <f t="shared" si="4"/>
        <v>1097.5949629629631</v>
      </c>
      <c r="J9" s="6">
        <f t="shared" si="4"/>
        <v>1162.4063703703703</v>
      </c>
      <c r="K9" s="6">
        <f t="shared" si="4"/>
        <v>1356.6574814814815</v>
      </c>
      <c r="L9" s="6">
        <f t="shared" si="4"/>
        <v>1180.4004444444445</v>
      </c>
      <c r="M9" s="6">
        <f t="shared" si="4"/>
        <v>1164.4825185185184</v>
      </c>
      <c r="N9" s="6">
        <f t="shared" si="4"/>
        <v>1111.2615555555556</v>
      </c>
      <c r="O9" s="6">
        <f t="shared" si="4"/>
        <v>1078.0516296296296</v>
      </c>
      <c r="P9" s="6">
        <f t="shared" si="4"/>
        <v>1020.234962962963</v>
      </c>
      <c r="Q9" s="6">
        <f t="shared" si="4"/>
        <v>984.78088888888897</v>
      </c>
      <c r="R9" s="6">
        <f t="shared" si="4"/>
        <v>911.48962962962969</v>
      </c>
      <c r="S9" s="6">
        <f t="shared" si="4"/>
        <v>866.64637037037028</v>
      </c>
      <c r="T9" s="6">
        <f t="shared" si="4"/>
        <v>810.84162962962955</v>
      </c>
      <c r="U9" s="6">
        <f t="shared" si="4"/>
        <v>749.03607407407401</v>
      </c>
      <c r="V9" s="6">
        <f t="shared" si="4"/>
        <v>829.25711111111116</v>
      </c>
      <c r="W9" s="6">
        <f t="shared" si="4"/>
        <v>817.04785185185187</v>
      </c>
      <c r="X9" s="6">
        <f t="shared" si="4"/>
        <v>856.63985185185186</v>
      </c>
      <c r="Y9" s="6">
        <f t="shared" si="4"/>
        <v>1213.9059999999999</v>
      </c>
      <c r="Z9" s="6">
        <f t="shared" si="4"/>
        <v>1230.6959259259261</v>
      </c>
      <c r="AA9" s="6">
        <f t="shared" si="4"/>
        <v>985.26718518518521</v>
      </c>
      <c r="AB9" s="6">
        <f t="shared" si="4"/>
        <v>832.86933333333332</v>
      </c>
      <c r="AC9" s="6">
        <f t="shared" si="4"/>
        <v>771.87918518518518</v>
      </c>
      <c r="AD9" s="6">
        <f t="shared" si="4"/>
        <v>700.22674074074075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123692.48</v>
      </c>
      <c r="D10" s="29">
        <f>C25</f>
        <v>82831.76999999996</v>
      </c>
      <c r="E10" s="29">
        <f t="shared" ref="E10:AD10" si="5">D25</f>
        <v>122349.44999999995</v>
      </c>
      <c r="F10" s="29">
        <f t="shared" si="5"/>
        <v>59860.579999999958</v>
      </c>
      <c r="G10" s="29">
        <f t="shared" si="5"/>
        <v>71986.589999999967</v>
      </c>
      <c r="H10" s="29">
        <f t="shared" si="5"/>
        <v>120945.21999999994</v>
      </c>
      <c r="I10" s="29">
        <f t="shared" si="5"/>
        <v>12879.219999999914</v>
      </c>
      <c r="J10" s="29">
        <f t="shared" si="5"/>
        <v>-8565.2400000000489</v>
      </c>
      <c r="K10" s="29">
        <f t="shared" si="5"/>
        <v>1375.0399999999208</v>
      </c>
      <c r="L10" s="29">
        <f t="shared" si="5"/>
        <v>8094.759999999922</v>
      </c>
      <c r="M10" s="29">
        <f t="shared" si="5"/>
        <v>42139.579999999929</v>
      </c>
      <c r="N10" s="29">
        <f t="shared" si="5"/>
        <v>114918.24999999991</v>
      </c>
      <c r="O10" s="29">
        <f t="shared" si="5"/>
        <v>150188.37999999989</v>
      </c>
      <c r="P10" s="29">
        <f t="shared" si="5"/>
        <v>193636.36999999985</v>
      </c>
      <c r="Q10" s="29">
        <f t="shared" si="5"/>
        <v>157780.30999999982</v>
      </c>
      <c r="R10" s="29">
        <f t="shared" si="5"/>
        <v>99836.679999999818</v>
      </c>
      <c r="S10" s="29">
        <f t="shared" si="5"/>
        <v>140378.30999999982</v>
      </c>
      <c r="T10" s="29">
        <f t="shared" si="5"/>
        <v>69708.459999999817</v>
      </c>
      <c r="U10" s="29">
        <f t="shared" si="5"/>
        <v>139635.33999999979</v>
      </c>
      <c r="V10" s="29">
        <f t="shared" si="5"/>
        <v>160851.31999999983</v>
      </c>
      <c r="W10" s="29">
        <f t="shared" si="5"/>
        <v>234879.89999999985</v>
      </c>
      <c r="X10" s="29">
        <f t="shared" si="5"/>
        <v>245975.50999999986</v>
      </c>
      <c r="Y10" s="29">
        <f t="shared" si="5"/>
        <v>150905.51999999984</v>
      </c>
      <c r="Z10" s="29">
        <f t="shared" si="5"/>
        <v>45167.309999999881</v>
      </c>
      <c r="AA10" s="29">
        <f t="shared" si="5"/>
        <v>48482.559999999881</v>
      </c>
      <c r="AB10" s="29">
        <f t="shared" si="5"/>
        <v>-41257.410000000091</v>
      </c>
      <c r="AC10" s="29">
        <f t="shared" si="5"/>
        <v>45399.849999999889</v>
      </c>
      <c r="AD10" s="29">
        <f t="shared" si="5"/>
        <v>62551.859999999899</v>
      </c>
      <c r="AE10" s="29">
        <f>AD25</f>
        <v>41334.309999999881</v>
      </c>
      <c r="AF10" s="29">
        <f>AE25</f>
        <v>41334.309999999881</v>
      </c>
      <c r="AG10" s="29">
        <f>AF25</f>
        <v>41334.309999999881</v>
      </c>
    </row>
    <row r="11" spans="1:33">
      <c r="A11" s="4" t="s">
        <v>8</v>
      </c>
      <c r="B11" s="23">
        <f>SUM(C11:AG11)</f>
        <v>3754319.0699999994</v>
      </c>
      <c r="C11" s="23">
        <v>134734.14000000001</v>
      </c>
      <c r="D11" s="23">
        <v>144482.5</v>
      </c>
      <c r="E11" s="23">
        <v>99130.32</v>
      </c>
      <c r="F11" s="23">
        <v>146645.01999999999</v>
      </c>
      <c r="G11" s="23">
        <v>153035.07999999999</v>
      </c>
      <c r="H11" s="23">
        <v>142516.06</v>
      </c>
      <c r="I11" s="23">
        <v>148175.32</v>
      </c>
      <c r="J11" s="23">
        <v>156924.85999999999</v>
      </c>
      <c r="K11" s="23">
        <v>183148.76</v>
      </c>
      <c r="L11" s="23">
        <v>159354.06</v>
      </c>
      <c r="M11" s="23">
        <f>157204.78+0.36</f>
        <v>157205.13999999998</v>
      </c>
      <c r="N11" s="23">
        <v>150020.31</v>
      </c>
      <c r="O11" s="23">
        <v>145536.97</v>
      </c>
      <c r="P11" s="23">
        <v>137731.72</v>
      </c>
      <c r="Q11" s="23">
        <v>132945.42000000001</v>
      </c>
      <c r="R11" s="23">
        <v>123051.1</v>
      </c>
      <c r="S11" s="23">
        <v>116997.26</v>
      </c>
      <c r="T11" s="23">
        <v>109463.62</v>
      </c>
      <c r="U11" s="23">
        <v>101119.87</v>
      </c>
      <c r="V11" s="23">
        <v>111949.71</v>
      </c>
      <c r="W11" s="23">
        <v>110301.46</v>
      </c>
      <c r="X11" s="23">
        <v>115646.38</v>
      </c>
      <c r="Y11" s="23">
        <v>163877.31</v>
      </c>
      <c r="Z11" s="23">
        <v>166143.95000000001</v>
      </c>
      <c r="AA11" s="23">
        <v>133011.07</v>
      </c>
      <c r="AB11" s="23">
        <v>112437.36</v>
      </c>
      <c r="AC11" s="23">
        <v>104203.69</v>
      </c>
      <c r="AD11" s="23">
        <v>94530.61</v>
      </c>
      <c r="AE11" s="23"/>
      <c r="AF11" s="23"/>
      <c r="AG11" s="23"/>
    </row>
    <row r="12" spans="1:33">
      <c r="A12" s="4" t="s">
        <v>9</v>
      </c>
      <c r="B12" s="23">
        <f>SUM(C12:AG12)</f>
        <v>700737.65</v>
      </c>
      <c r="C12" s="23">
        <f>24400+80+1230</f>
        <v>25710</v>
      </c>
      <c r="D12" s="23">
        <f>26050+260</f>
        <v>26310</v>
      </c>
      <c r="E12" s="23">
        <f>20600+160+720</f>
        <v>21480</v>
      </c>
      <c r="F12" s="23">
        <f>25550+510+600</f>
        <v>26660</v>
      </c>
      <c r="G12" s="23">
        <f>23500+430</f>
        <v>23930</v>
      </c>
      <c r="H12" s="23">
        <f>22150+480+220</f>
        <v>22850</v>
      </c>
      <c r="I12" s="23">
        <f>24150+500+390</f>
        <v>25040</v>
      </c>
      <c r="J12" s="23">
        <f>23750+1185+610</f>
        <v>25545</v>
      </c>
      <c r="K12" s="23">
        <f>24700+400+330</f>
        <v>25430</v>
      </c>
      <c r="L12" s="23">
        <f>24100+250+720+1650</f>
        <v>26720</v>
      </c>
      <c r="M12" s="23">
        <f>24000+230+1070</f>
        <v>25300</v>
      </c>
      <c r="N12" s="23">
        <f>24700+380</f>
        <v>25080</v>
      </c>
      <c r="O12" s="23">
        <f>27250+370</f>
        <v>27620</v>
      </c>
      <c r="P12" s="23">
        <f>24200+545+360</f>
        <v>25105</v>
      </c>
      <c r="Q12" s="23">
        <f>25000+2577.65</f>
        <v>27577.65</v>
      </c>
      <c r="R12" s="23">
        <f>24550+400</f>
        <v>24950</v>
      </c>
      <c r="S12" s="23">
        <f>23400+690</f>
        <v>24090</v>
      </c>
      <c r="T12" s="23">
        <f>25500+740+680</f>
        <v>26920</v>
      </c>
      <c r="U12" s="23">
        <v>25400</v>
      </c>
      <c r="V12" s="23">
        <f>26350+450</f>
        <v>26800</v>
      </c>
      <c r="W12" s="23">
        <f>26800+50</f>
        <v>26850</v>
      </c>
      <c r="X12" s="23">
        <f>26000+440</f>
        <v>26440</v>
      </c>
      <c r="Y12" s="23">
        <f>26300+350</f>
        <v>26650</v>
      </c>
      <c r="Z12" s="23">
        <f>26700+100</f>
        <v>26800</v>
      </c>
      <c r="AA12" s="23">
        <f>18550+85</f>
        <v>18635</v>
      </c>
      <c r="AB12" s="23">
        <f>22800+2640+680</f>
        <v>26120</v>
      </c>
      <c r="AC12" s="23">
        <f>20600+525+260</f>
        <v>21385</v>
      </c>
      <c r="AD12" s="23">
        <f>19100+240</f>
        <v>19340</v>
      </c>
      <c r="AE12" s="23"/>
      <c r="AF12" s="23"/>
      <c r="AG12" s="23"/>
    </row>
    <row r="13" spans="1:33">
      <c r="A13" s="8" t="s">
        <v>10</v>
      </c>
      <c r="B13" s="23">
        <f>SUM(C13:AG13)</f>
        <v>175222.06</v>
      </c>
      <c r="C13" s="24">
        <f>163010.75-C12-C11</f>
        <v>2566.609999999986</v>
      </c>
      <c r="D13" s="24">
        <f>172569.14-D12-D11</f>
        <v>1776.640000000014</v>
      </c>
      <c r="E13" s="24">
        <f>122975.33-E12-E11</f>
        <v>2365.0099999999948</v>
      </c>
      <c r="F13" s="24">
        <f>174013.91-F12-F11</f>
        <v>708.89000000001397</v>
      </c>
      <c r="G13" s="24">
        <f>184523.65-G12-G11</f>
        <v>7558.570000000007</v>
      </c>
      <c r="H13" s="24">
        <f>174466.69-H12-H11</f>
        <v>9100.6300000000047</v>
      </c>
      <c r="I13" s="24">
        <f>179597.76-I12-I11</f>
        <v>6382.4400000000023</v>
      </c>
      <c r="J13" s="24">
        <f>280881.16-J12-J11</f>
        <v>98411.299999999988</v>
      </c>
      <c r="K13" s="23">
        <f>214425.84-K12-K11</f>
        <v>5847.0799999999872</v>
      </c>
      <c r="L13" s="23">
        <f>190293.64-L12-L11</f>
        <v>4219.5800000000163</v>
      </c>
      <c r="M13" s="23">
        <f>189060.71-M12-M11</f>
        <v>6555.570000000007</v>
      </c>
      <c r="N13" s="23">
        <f>177296.84-N12-N11</f>
        <v>2196.5299999999988</v>
      </c>
      <c r="O13" s="23">
        <f>175943.35-O12-O11</f>
        <v>2786.3800000000047</v>
      </c>
      <c r="P13" s="23">
        <f>155845.82-P12-P11</f>
        <v>-6990.8999999999942</v>
      </c>
      <c r="Q13" s="23">
        <f>157200.07-Q12-Q11</f>
        <v>-3323</v>
      </c>
      <c r="R13" s="23">
        <f>150388.95-R12-R11</f>
        <v>2387.8500000000058</v>
      </c>
      <c r="S13" s="23">
        <f>144447.31-S12-S11</f>
        <v>3360.0500000000029</v>
      </c>
      <c r="T13" s="23">
        <f>138083.65-T12-T11</f>
        <v>1700.0299999999988</v>
      </c>
      <c r="U13" s="23">
        <f>131929.72-U12-U11</f>
        <v>5409.8500000000058</v>
      </c>
      <c r="V13" s="23">
        <f>140267.46-V12-V11</f>
        <v>1517.7499999999854</v>
      </c>
      <c r="W13" s="23">
        <f>146018.39-W12-W11</f>
        <v>8866.9300000000076</v>
      </c>
      <c r="X13" s="23">
        <f>145902.33-X12-X11</f>
        <v>3815.9499999999825</v>
      </c>
      <c r="Y13" s="23">
        <f>195126.98-Y12-Y11</f>
        <v>4599.6700000000128</v>
      </c>
      <c r="Z13" s="23">
        <f>200625.81-Z12-Z11</f>
        <v>7681.859999999986</v>
      </c>
      <c r="AA13" s="23">
        <f>123904.71-AA12-AA11</f>
        <v>-27741.360000000001</v>
      </c>
      <c r="AB13" s="23">
        <f>139583.29-AB11-AB12</f>
        <v>1025.9300000000076</v>
      </c>
      <c r="AC13" s="23">
        <f>129895.22-AC11-AC12</f>
        <v>4306.5299999999988</v>
      </c>
      <c r="AD13" s="23">
        <f>132000.3-AD11-AD12</f>
        <v>18129.689999999988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4630278.7799999993</v>
      </c>
      <c r="C14" s="18">
        <f>SUM(C11:C13)</f>
        <v>163010.75</v>
      </c>
      <c r="D14" s="18">
        <f t="shared" ref="D14:AG14" si="6">SUM(D11:D13)</f>
        <v>172569.14</v>
      </c>
      <c r="E14" s="18">
        <f t="shared" si="6"/>
        <v>122975.33</v>
      </c>
      <c r="F14" s="18">
        <f t="shared" si="6"/>
        <v>174013.91</v>
      </c>
      <c r="G14" s="18">
        <f t="shared" si="6"/>
        <v>184523.65</v>
      </c>
      <c r="H14" s="18">
        <f t="shared" si="6"/>
        <v>174466.69</v>
      </c>
      <c r="I14" s="18">
        <f t="shared" si="6"/>
        <v>179597.76</v>
      </c>
      <c r="J14" s="18">
        <f t="shared" si="6"/>
        <v>280881.15999999997</v>
      </c>
      <c r="K14" s="18">
        <f t="shared" si="6"/>
        <v>214425.84</v>
      </c>
      <c r="L14" s="18">
        <f t="shared" si="6"/>
        <v>190293.64</v>
      </c>
      <c r="M14" s="18">
        <f t="shared" si="6"/>
        <v>189060.71</v>
      </c>
      <c r="N14" s="18">
        <f t="shared" si="6"/>
        <v>177296.84</v>
      </c>
      <c r="O14" s="18">
        <f t="shared" si="6"/>
        <v>175943.35</v>
      </c>
      <c r="P14" s="18">
        <f t="shared" si="6"/>
        <v>155845.82</v>
      </c>
      <c r="Q14" s="18">
        <f t="shared" si="6"/>
        <v>157200.07</v>
      </c>
      <c r="R14" s="18">
        <f t="shared" si="6"/>
        <v>150388.95000000001</v>
      </c>
      <c r="S14" s="18">
        <f t="shared" si="6"/>
        <v>144447.31</v>
      </c>
      <c r="T14" s="18">
        <f t="shared" si="6"/>
        <v>138083.65</v>
      </c>
      <c r="U14" s="18">
        <f t="shared" si="6"/>
        <v>131929.72</v>
      </c>
      <c r="V14" s="18">
        <f t="shared" si="6"/>
        <v>140267.46000000002</v>
      </c>
      <c r="W14" s="18">
        <f t="shared" si="6"/>
        <v>146018.39000000001</v>
      </c>
      <c r="X14" s="18">
        <f t="shared" si="6"/>
        <v>145902.32999999999</v>
      </c>
      <c r="Y14" s="18">
        <f t="shared" si="6"/>
        <v>195126.98</v>
      </c>
      <c r="Z14" s="18">
        <f t="shared" si="6"/>
        <v>200625.81</v>
      </c>
      <c r="AA14" s="18">
        <f t="shared" si="6"/>
        <v>123904.71</v>
      </c>
      <c r="AB14" s="18">
        <f t="shared" si="6"/>
        <v>139583.28999999998</v>
      </c>
      <c r="AC14" s="18">
        <f t="shared" si="6"/>
        <v>129895.22</v>
      </c>
      <c r="AD14" s="18">
        <f t="shared" si="6"/>
        <v>132000.29999999999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516945.94000000006</v>
      </c>
      <c r="C15" s="23">
        <f>3371+58199.8</f>
        <v>61570.8</v>
      </c>
      <c r="D15" s="23">
        <f>1072.48+11300</f>
        <v>12372.48</v>
      </c>
      <c r="E15" s="23">
        <f>8580+54200-4500</f>
        <v>58280</v>
      </c>
      <c r="F15" s="23">
        <f>1684.87+6600-1250</f>
        <v>7034.869999999999</v>
      </c>
      <c r="G15" s="23">
        <f>400+3652</f>
        <v>4052</v>
      </c>
      <c r="H15" s="23">
        <f>2306.73+11800</f>
        <v>14106.73</v>
      </c>
      <c r="I15" s="23">
        <f>4190+60000-5000</f>
        <v>59190</v>
      </c>
      <c r="J15" s="23">
        <f>89630+17399.4</f>
        <v>107029.4</v>
      </c>
      <c r="K15" s="23">
        <f>8835+20100</f>
        <v>28935</v>
      </c>
      <c r="L15" s="23">
        <f>5267+8198.8</f>
        <v>13465.8</v>
      </c>
      <c r="M15" s="23">
        <f>1710+5100</f>
        <v>6810</v>
      </c>
      <c r="N15" s="23">
        <f>1679.52-1050</f>
        <v>629.52</v>
      </c>
      <c r="O15" s="23">
        <v>2193.48</v>
      </c>
      <c r="P15" s="23">
        <f>6205+5750</f>
        <v>11955</v>
      </c>
      <c r="Q15" s="23">
        <f>4860+5400</f>
        <v>10260</v>
      </c>
      <c r="R15" s="23">
        <v>3056</v>
      </c>
      <c r="S15" s="23">
        <f>3454+9500</f>
        <v>12954</v>
      </c>
      <c r="T15" s="23">
        <f>4087.4+13900</f>
        <v>17987.400000000001</v>
      </c>
      <c r="U15" s="23">
        <v>6000</v>
      </c>
      <c r="V15" s="23">
        <f>4500+9600</f>
        <v>14100</v>
      </c>
      <c r="W15" s="23">
        <f>940+9400</f>
        <v>10340</v>
      </c>
      <c r="X15" s="23">
        <v>1340</v>
      </c>
      <c r="Y15" s="23">
        <f>1550+15400</f>
        <v>16950</v>
      </c>
      <c r="Z15" s="23">
        <f>7000+2800</f>
        <v>9800</v>
      </c>
      <c r="AA15" s="23">
        <f>325+6800</f>
        <v>7125</v>
      </c>
      <c r="AB15" s="23">
        <v>120</v>
      </c>
      <c r="AC15" s="23">
        <f>2301.33+10500</f>
        <v>12801.33</v>
      </c>
      <c r="AD15" s="23">
        <f>3187.13+3300</f>
        <v>6487.13</v>
      </c>
      <c r="AE15" s="23"/>
      <c r="AF15" s="23"/>
      <c r="AG15" s="23"/>
    </row>
    <row r="16" spans="1:33">
      <c r="A16" s="16" t="s">
        <v>16</v>
      </c>
      <c r="B16" s="23">
        <f t="shared" si="7"/>
        <v>1747945.3099999998</v>
      </c>
      <c r="C16" s="23">
        <f>9920.96+11000+18000</f>
        <v>38920.959999999999</v>
      </c>
      <c r="D16" s="23">
        <f>49436.98+1500+3000</f>
        <v>53936.98</v>
      </c>
      <c r="E16" s="23">
        <f>19254.9+28903.3</f>
        <v>48158.2</v>
      </c>
      <c r="F16" s="23">
        <f>21600+25373.03+11400</f>
        <v>58373.03</v>
      </c>
      <c r="G16" s="23">
        <f>5813.02+1500+14400</f>
        <v>21713.02</v>
      </c>
      <c r="H16" s="23">
        <f>3400+11324.76+22100+31201.2</f>
        <v>68025.960000000006</v>
      </c>
      <c r="I16" s="23">
        <f>3400+27482.22+25800+15200</f>
        <v>71882.22</v>
      </c>
      <c r="J16" s="23">
        <f>19800+32221.48+17600</f>
        <v>69621.48</v>
      </c>
      <c r="K16" s="23">
        <f>51641.12+13000+6900</f>
        <v>71541.119999999995</v>
      </c>
      <c r="L16" s="23">
        <f>81133.02+14700+20100</f>
        <v>115933.02</v>
      </c>
      <c r="M16" s="23">
        <f>2000+20852.04+38900</f>
        <v>61752.04</v>
      </c>
      <c r="N16" s="23">
        <f>28500+16961.39+25195.8+3600</f>
        <v>74257.19</v>
      </c>
      <c r="O16" s="23">
        <f>8650+26241.88</f>
        <v>34891.880000000005</v>
      </c>
      <c r="P16" s="23">
        <f>14558.88+2000+66500</f>
        <v>83058.880000000005</v>
      </c>
      <c r="Q16" s="23">
        <f>21000+57128.7</f>
        <v>78128.7</v>
      </c>
      <c r="R16" s="23">
        <v>45318.32</v>
      </c>
      <c r="S16" s="23">
        <f>89633.16+9600</f>
        <v>99233.16</v>
      </c>
      <c r="T16" s="23">
        <f>6000+10319.37+4400</f>
        <v>20719.370000000003</v>
      </c>
      <c r="U16" s="23">
        <f>2600+5413.74</f>
        <v>8013.74</v>
      </c>
      <c r="V16" s="23">
        <v>19038.88</v>
      </c>
      <c r="W16" s="23">
        <f>2530+35741.78+6000</f>
        <v>44271.78</v>
      </c>
      <c r="X16" s="23">
        <f>37122.32+55560+41000</f>
        <v>133682.32</v>
      </c>
      <c r="Y16" s="23">
        <f>62415.19+27900+7700</f>
        <v>98015.19</v>
      </c>
      <c r="Z16" s="23">
        <f>6660.56+1050+49800+3500+35000</f>
        <v>96010.559999999998</v>
      </c>
      <c r="AA16" s="23">
        <f>14000+66998.68+19700</f>
        <v>100698.68</v>
      </c>
      <c r="AB16" s="23">
        <f>36580+6726.03+12400</f>
        <v>55706.03</v>
      </c>
      <c r="AC16" s="23">
        <f>1800+13161.88</f>
        <v>14961.88</v>
      </c>
      <c r="AD16" s="23">
        <f>43401.2+6479.52+12200</f>
        <v>62080.72</v>
      </c>
      <c r="AE16" s="23"/>
      <c r="AF16" s="23"/>
      <c r="AG16" s="23"/>
    </row>
    <row r="17" spans="1:33">
      <c r="A17" s="16" t="s">
        <v>17</v>
      </c>
      <c r="B17" s="23">
        <f t="shared" si="7"/>
        <v>584596</v>
      </c>
      <c r="C17" s="23">
        <v>37600</v>
      </c>
      <c r="D17" s="23"/>
      <c r="E17" s="23"/>
      <c r="F17" s="23">
        <v>111585</v>
      </c>
      <c r="G17" s="23">
        <v>8550</v>
      </c>
      <c r="H17" s="23">
        <v>108000</v>
      </c>
      <c r="I17" s="23">
        <v>124850</v>
      </c>
      <c r="J17" s="23"/>
      <c r="K17" s="23"/>
      <c r="L17" s="23">
        <v>4950</v>
      </c>
      <c r="M17" s="23"/>
      <c r="N17" s="23">
        <v>39500</v>
      </c>
      <c r="O17" s="23">
        <v>21600</v>
      </c>
      <c r="P17" s="23">
        <v>25800</v>
      </c>
      <c r="Q17" s="23"/>
      <c r="R17" s="23">
        <v>27100</v>
      </c>
      <c r="S17" s="23"/>
      <c r="T17" s="23">
        <v>16500</v>
      </c>
      <c r="U17" s="23"/>
      <c r="V17" s="23">
        <v>14700</v>
      </c>
      <c r="W17" s="23">
        <v>15761</v>
      </c>
      <c r="X17" s="23"/>
      <c r="Y17" s="23"/>
      <c r="Z17" s="23"/>
      <c r="AA17" s="23"/>
      <c r="AB17" s="23"/>
      <c r="AC17" s="23">
        <v>7200</v>
      </c>
      <c r="AD17" s="23">
        <v>20900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24600</v>
      </c>
      <c r="C19" s="23"/>
      <c r="D19" s="23"/>
      <c r="E19" s="23">
        <v>11000</v>
      </c>
      <c r="F19" s="23"/>
      <c r="G19" s="23">
        <v>2400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>
        <v>2200</v>
      </c>
      <c r="Z19" s="23">
        <v>9000</v>
      </c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32666.7</v>
      </c>
      <c r="C20" s="23">
        <v>24066.7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6900</v>
      </c>
      <c r="AA20" s="23">
        <v>1700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1864683</v>
      </c>
      <c r="C21" s="23">
        <v>91313</v>
      </c>
      <c r="D21" s="23">
        <v>64342</v>
      </c>
      <c r="E21" s="23">
        <v>72226</v>
      </c>
      <c r="F21" s="23">
        <v>64280</v>
      </c>
      <c r="G21" s="23">
        <v>37800</v>
      </c>
      <c r="H21" s="23">
        <v>82400</v>
      </c>
      <c r="I21" s="23">
        <v>23820</v>
      </c>
      <c r="J21" s="23">
        <v>39240</v>
      </c>
      <c r="K21" s="23">
        <v>71230</v>
      </c>
      <c r="L21" s="23">
        <v>21900</v>
      </c>
      <c r="M21" s="23">
        <v>45320</v>
      </c>
      <c r="N21" s="23">
        <v>31140</v>
      </c>
      <c r="O21" s="23">
        <v>95410</v>
      </c>
      <c r="P21" s="23">
        <v>91688</v>
      </c>
      <c r="Q21" s="23">
        <v>94370</v>
      </c>
      <c r="R21" s="23">
        <v>56873</v>
      </c>
      <c r="S21" s="23">
        <v>102930</v>
      </c>
      <c r="T21" s="23">
        <v>12950</v>
      </c>
      <c r="U21" s="23">
        <v>96700</v>
      </c>
      <c r="V21" s="23">
        <v>31500</v>
      </c>
      <c r="W21" s="23">
        <v>76150</v>
      </c>
      <c r="X21" s="23">
        <v>69150</v>
      </c>
      <c r="Y21" s="23">
        <v>165300</v>
      </c>
      <c r="Z21" s="23">
        <v>50800</v>
      </c>
      <c r="AA21" s="23">
        <v>104121</v>
      </c>
      <c r="AB21" s="23"/>
      <c r="AC21" s="23">
        <v>89980</v>
      </c>
      <c r="AD21" s="23">
        <v>81750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-58800</v>
      </c>
      <c r="C23" s="24">
        <f>-82600+33000</f>
        <v>-49600</v>
      </c>
      <c r="D23" s="24">
        <f>-1800+4200</f>
        <v>2400</v>
      </c>
      <c r="E23" s="24">
        <f>-14200+10000</f>
        <v>-4200</v>
      </c>
      <c r="F23" s="24">
        <f>-93585+14200</f>
        <v>-79385</v>
      </c>
      <c r="G23" s="24">
        <f>-10950+72000</f>
        <v>61050</v>
      </c>
      <c r="H23" s="24">
        <f>-3300+13300</f>
        <v>10000</v>
      </c>
      <c r="I23" s="24">
        <f>-82000+3300</f>
        <v>-78700</v>
      </c>
      <c r="J23" s="24">
        <f>-7000+62050</f>
        <v>55050</v>
      </c>
      <c r="K23" s="24">
        <v>36000</v>
      </c>
      <c r="L23" s="24">
        <f>58050+5950-64000</f>
        <v>0</v>
      </c>
      <c r="M23" s="24">
        <v>2400</v>
      </c>
      <c r="N23" s="24">
        <v>-3500</v>
      </c>
      <c r="O23" s="24">
        <v>-21600</v>
      </c>
      <c r="P23" s="24">
        <f>-25800+5000</f>
        <v>-20800</v>
      </c>
      <c r="Q23" s="24">
        <v>32385</v>
      </c>
      <c r="R23" s="24">
        <v>-22500</v>
      </c>
      <c r="S23" s="24"/>
      <c r="T23" s="24"/>
      <c r="U23" s="24"/>
      <c r="V23" s="24">
        <f>-19100+6000</f>
        <v>-13100</v>
      </c>
      <c r="W23" s="24">
        <v>-11600</v>
      </c>
      <c r="X23" s="24">
        <f>-1000+37800</f>
        <v>36800</v>
      </c>
      <c r="Y23" s="24">
        <f>-10700+29100</f>
        <v>18400</v>
      </c>
      <c r="Z23" s="24">
        <v>24800</v>
      </c>
      <c r="AA23" s="24"/>
      <c r="AB23" s="24">
        <v>-2900</v>
      </c>
      <c r="AC23" s="24">
        <f>-12200-7200+7200</f>
        <v>-12200</v>
      </c>
      <c r="AD23" s="24">
        <f>+-20900+2900</f>
        <v>-18000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4712636.95</v>
      </c>
      <c r="C24" s="19">
        <f>SUM(C15:C23)</f>
        <v>203871.46000000002</v>
      </c>
      <c r="D24" s="19">
        <f t="shared" ref="D24:U24" si="8">SUM(D15:D23)</f>
        <v>133051.46000000002</v>
      </c>
      <c r="E24" s="19">
        <f t="shared" si="8"/>
        <v>185464.2</v>
      </c>
      <c r="F24" s="19">
        <f t="shared" si="8"/>
        <v>161887.9</v>
      </c>
      <c r="G24" s="19">
        <f t="shared" si="8"/>
        <v>135565.02000000002</v>
      </c>
      <c r="H24" s="19">
        <f t="shared" si="8"/>
        <v>282532.69</v>
      </c>
      <c r="I24" s="19">
        <f t="shared" si="8"/>
        <v>201042.21999999997</v>
      </c>
      <c r="J24" s="19">
        <f t="shared" si="8"/>
        <v>270940.88</v>
      </c>
      <c r="K24" s="19">
        <f t="shared" si="8"/>
        <v>207706.12</v>
      </c>
      <c r="L24" s="19">
        <f t="shared" si="8"/>
        <v>156248.82</v>
      </c>
      <c r="M24" s="19">
        <f t="shared" si="8"/>
        <v>116282.04000000001</v>
      </c>
      <c r="N24" s="19">
        <f t="shared" si="8"/>
        <v>142026.71000000002</v>
      </c>
      <c r="O24" s="19">
        <f t="shared" si="8"/>
        <v>132495.36000000002</v>
      </c>
      <c r="P24" s="19">
        <f t="shared" si="8"/>
        <v>191701.88</v>
      </c>
      <c r="Q24" s="19">
        <f t="shared" si="8"/>
        <v>215143.7</v>
      </c>
      <c r="R24" s="19">
        <f t="shared" si="8"/>
        <v>109847.32</v>
      </c>
      <c r="S24" s="19">
        <f t="shared" si="8"/>
        <v>215117.16</v>
      </c>
      <c r="T24" s="19">
        <f t="shared" si="8"/>
        <v>68156.77</v>
      </c>
      <c r="U24" s="19">
        <f t="shared" si="8"/>
        <v>110713.74</v>
      </c>
      <c r="V24" s="19">
        <f>SUM(V15:V23)</f>
        <v>66238.880000000005</v>
      </c>
      <c r="W24" s="19">
        <f t="shared" ref="W24:AG24" si="9">SUM(W15:W23)</f>
        <v>134922.78</v>
      </c>
      <c r="X24" s="19">
        <f t="shared" si="9"/>
        <v>240972.32</v>
      </c>
      <c r="Y24" s="19">
        <f t="shared" si="9"/>
        <v>300865.19</v>
      </c>
      <c r="Z24" s="19">
        <f t="shared" si="9"/>
        <v>197310.56</v>
      </c>
      <c r="AA24" s="19">
        <f t="shared" si="9"/>
        <v>213644.68</v>
      </c>
      <c r="AB24" s="19">
        <f t="shared" si="9"/>
        <v>52926.03</v>
      </c>
      <c r="AC24" s="19">
        <f t="shared" si="9"/>
        <v>112743.20999999999</v>
      </c>
      <c r="AD24" s="19">
        <f t="shared" si="9"/>
        <v>153217.85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-82358.170000000857</v>
      </c>
      <c r="C25" s="20">
        <f>C10+C14-C24</f>
        <v>82831.76999999996</v>
      </c>
      <c r="D25" s="20">
        <f t="shared" ref="D25:AG25" si="10">D10+D14-D24</f>
        <v>122349.44999999995</v>
      </c>
      <c r="E25" s="20">
        <f t="shared" si="10"/>
        <v>59860.579999999958</v>
      </c>
      <c r="F25" s="20">
        <f t="shared" si="10"/>
        <v>71986.589999999967</v>
      </c>
      <c r="G25" s="20">
        <f t="shared" si="10"/>
        <v>120945.21999999994</v>
      </c>
      <c r="H25" s="20">
        <f t="shared" si="10"/>
        <v>12879.219999999914</v>
      </c>
      <c r="I25" s="20">
        <f t="shared" si="10"/>
        <v>-8565.2400000000489</v>
      </c>
      <c r="J25" s="20">
        <f t="shared" si="10"/>
        <v>1375.0399999999208</v>
      </c>
      <c r="K25" s="20">
        <f t="shared" si="10"/>
        <v>8094.759999999922</v>
      </c>
      <c r="L25" s="20">
        <f t="shared" si="10"/>
        <v>42139.579999999929</v>
      </c>
      <c r="M25" s="20">
        <f t="shared" si="10"/>
        <v>114918.24999999991</v>
      </c>
      <c r="N25" s="20">
        <f t="shared" si="10"/>
        <v>150188.37999999989</v>
      </c>
      <c r="O25" s="20">
        <f t="shared" si="10"/>
        <v>193636.36999999985</v>
      </c>
      <c r="P25" s="20">
        <f t="shared" si="10"/>
        <v>157780.30999999982</v>
      </c>
      <c r="Q25" s="20">
        <f t="shared" si="10"/>
        <v>99836.679999999818</v>
      </c>
      <c r="R25" s="20">
        <f t="shared" si="10"/>
        <v>140378.30999999982</v>
      </c>
      <c r="S25" s="20">
        <f t="shared" si="10"/>
        <v>69708.459999999817</v>
      </c>
      <c r="T25" s="20">
        <f t="shared" si="10"/>
        <v>139635.33999999979</v>
      </c>
      <c r="U25" s="20">
        <f t="shared" si="10"/>
        <v>160851.31999999983</v>
      </c>
      <c r="V25" s="20">
        <f t="shared" si="10"/>
        <v>234879.89999999985</v>
      </c>
      <c r="W25" s="20">
        <f t="shared" si="10"/>
        <v>245975.50999999986</v>
      </c>
      <c r="X25" s="20">
        <f t="shared" si="10"/>
        <v>150905.51999999984</v>
      </c>
      <c r="Y25" s="20">
        <f t="shared" si="10"/>
        <v>45167.309999999881</v>
      </c>
      <c r="Z25" s="20">
        <f t="shared" si="10"/>
        <v>48482.559999999881</v>
      </c>
      <c r="AA25" s="20">
        <f t="shared" si="10"/>
        <v>-41257.410000000091</v>
      </c>
      <c r="AB25" s="20">
        <f t="shared" si="10"/>
        <v>45399.849999999889</v>
      </c>
      <c r="AC25" s="20">
        <f t="shared" si="10"/>
        <v>62551.859999999899</v>
      </c>
      <c r="AD25" s="20">
        <f t="shared" si="10"/>
        <v>41334.309999999881</v>
      </c>
      <c r="AE25" s="20">
        <f t="shared" si="10"/>
        <v>41334.309999999881</v>
      </c>
      <c r="AF25" s="20">
        <f t="shared" si="10"/>
        <v>41334.309999999881</v>
      </c>
      <c r="AG25" s="20">
        <f t="shared" si="10"/>
        <v>41334.309999999881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32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4513</v>
      </c>
      <c r="C3" s="27">
        <v>161</v>
      </c>
      <c r="D3" s="27">
        <v>161</v>
      </c>
      <c r="E3" s="27">
        <v>161</v>
      </c>
      <c r="F3" s="27">
        <v>161</v>
      </c>
      <c r="G3" s="27">
        <v>161</v>
      </c>
      <c r="H3" s="27">
        <v>161</v>
      </c>
      <c r="I3" s="27">
        <v>161</v>
      </c>
      <c r="J3" s="27">
        <v>161</v>
      </c>
      <c r="K3" s="27">
        <v>161</v>
      </c>
      <c r="L3" s="27">
        <v>161</v>
      </c>
      <c r="M3" s="27">
        <v>161</v>
      </c>
      <c r="N3" s="27">
        <v>161</v>
      </c>
      <c r="O3" s="27">
        <v>161</v>
      </c>
      <c r="P3" s="27">
        <v>161</v>
      </c>
      <c r="Q3" s="27">
        <v>161</v>
      </c>
      <c r="R3" s="27">
        <v>161</v>
      </c>
      <c r="S3" s="27">
        <v>161</v>
      </c>
      <c r="T3" s="27">
        <v>161</v>
      </c>
      <c r="U3" s="27">
        <v>161</v>
      </c>
      <c r="V3" s="27">
        <v>161</v>
      </c>
      <c r="W3" s="27">
        <v>161</v>
      </c>
      <c r="X3" s="27">
        <v>161</v>
      </c>
      <c r="Y3" s="27">
        <v>161</v>
      </c>
      <c r="Z3" s="27">
        <v>162</v>
      </c>
      <c r="AA3" s="27">
        <v>162</v>
      </c>
      <c r="AB3" s="27">
        <v>162</v>
      </c>
      <c r="AC3" s="47">
        <v>162</v>
      </c>
      <c r="AD3" s="27">
        <v>162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4513</v>
      </c>
      <c r="C5" s="5">
        <f t="shared" ref="C5:Y5" si="1">+C3-C4</f>
        <v>161</v>
      </c>
      <c r="D5" s="5">
        <f t="shared" si="1"/>
        <v>161</v>
      </c>
      <c r="E5" s="5">
        <f t="shared" si="1"/>
        <v>161</v>
      </c>
      <c r="F5" s="5">
        <f t="shared" si="1"/>
        <v>161</v>
      </c>
      <c r="G5" s="5">
        <f t="shared" si="1"/>
        <v>161</v>
      </c>
      <c r="H5" s="5">
        <f t="shared" si="1"/>
        <v>161</v>
      </c>
      <c r="I5" s="5">
        <f t="shared" si="1"/>
        <v>161</v>
      </c>
      <c r="J5" s="5">
        <f t="shared" si="1"/>
        <v>161</v>
      </c>
      <c r="K5" s="5">
        <f t="shared" si="1"/>
        <v>161</v>
      </c>
      <c r="L5" s="5">
        <f t="shared" si="1"/>
        <v>161</v>
      </c>
      <c r="M5" s="5">
        <f t="shared" si="1"/>
        <v>161</v>
      </c>
      <c r="N5" s="5">
        <f t="shared" si="1"/>
        <v>161</v>
      </c>
      <c r="O5" s="5">
        <f t="shared" si="1"/>
        <v>161</v>
      </c>
      <c r="P5" s="5">
        <f t="shared" si="1"/>
        <v>161</v>
      </c>
      <c r="Q5" s="5">
        <f t="shared" si="1"/>
        <v>161</v>
      </c>
      <c r="R5" s="5">
        <f t="shared" si="1"/>
        <v>161</v>
      </c>
      <c r="S5" s="5">
        <f t="shared" si="1"/>
        <v>161</v>
      </c>
      <c r="T5" s="5">
        <f t="shared" si="1"/>
        <v>161</v>
      </c>
      <c r="U5" s="5">
        <f t="shared" si="1"/>
        <v>161</v>
      </c>
      <c r="V5" s="5">
        <f t="shared" si="1"/>
        <v>161</v>
      </c>
      <c r="W5" s="5">
        <f t="shared" si="1"/>
        <v>161</v>
      </c>
      <c r="X5" s="5">
        <f t="shared" si="1"/>
        <v>161</v>
      </c>
      <c r="Y5" s="5">
        <f t="shared" si="1"/>
        <v>161</v>
      </c>
      <c r="Z5" s="5">
        <v>162</v>
      </c>
      <c r="AA5" s="5">
        <f t="shared" ref="AA5:AG5" si="2">+AA3-AA4</f>
        <v>162</v>
      </c>
      <c r="AB5" s="5">
        <f t="shared" si="2"/>
        <v>162</v>
      </c>
      <c r="AC5" s="5">
        <f t="shared" si="2"/>
        <v>162</v>
      </c>
      <c r="AD5" s="5">
        <f t="shared" si="2"/>
        <v>162</v>
      </c>
      <c r="AE5" s="5">
        <f t="shared" si="2"/>
        <v>0</v>
      </c>
      <c r="AF5" s="5">
        <f t="shared" si="2"/>
        <v>0</v>
      </c>
      <c r="AG5" s="5">
        <f t="shared" si="2"/>
        <v>0</v>
      </c>
    </row>
    <row r="6" spans="1:33">
      <c r="A6" s="26" t="s">
        <v>3</v>
      </c>
      <c r="B6" s="34">
        <f>SUM(C6:AG6)</f>
        <v>3907</v>
      </c>
      <c r="C6" s="34">
        <v>149</v>
      </c>
      <c r="D6" s="34">
        <v>137</v>
      </c>
      <c r="E6" s="34">
        <v>126</v>
      </c>
      <c r="F6" s="34">
        <v>138</v>
      </c>
      <c r="G6" s="34">
        <v>109</v>
      </c>
      <c r="H6" s="34">
        <v>113</v>
      </c>
      <c r="I6" s="34">
        <v>106</v>
      </c>
      <c r="J6" s="34">
        <v>148</v>
      </c>
      <c r="K6" s="34">
        <v>150</v>
      </c>
      <c r="L6" s="34">
        <v>145</v>
      </c>
      <c r="M6" s="34">
        <v>152</v>
      </c>
      <c r="N6" s="34">
        <v>151</v>
      </c>
      <c r="O6" s="34">
        <v>143</v>
      </c>
      <c r="P6" s="34">
        <v>153</v>
      </c>
      <c r="Q6" s="34">
        <v>148</v>
      </c>
      <c r="R6" s="34">
        <v>160</v>
      </c>
      <c r="S6" s="34">
        <v>137</v>
      </c>
      <c r="T6" s="34">
        <v>144</v>
      </c>
      <c r="U6" s="34">
        <v>156</v>
      </c>
      <c r="V6" s="34">
        <v>156</v>
      </c>
      <c r="W6" s="34">
        <v>154</v>
      </c>
      <c r="X6" s="34">
        <v>147</v>
      </c>
      <c r="Y6" s="34">
        <v>160</v>
      </c>
      <c r="Z6" s="34">
        <v>152</v>
      </c>
      <c r="AA6" s="34">
        <v>118</v>
      </c>
      <c r="AB6" s="34">
        <v>130</v>
      </c>
      <c r="AC6" s="48">
        <v>108</v>
      </c>
      <c r="AD6" s="34">
        <v>117</v>
      </c>
      <c r="AE6" s="25"/>
      <c r="AF6" s="25"/>
      <c r="AG6" s="25"/>
    </row>
    <row r="7" spans="1:33">
      <c r="A7" s="4" t="s">
        <v>4</v>
      </c>
      <c r="B7" s="7">
        <f>IF(B6=0,0,B6/B5)</f>
        <v>0.86572124972302233</v>
      </c>
      <c r="C7" s="7">
        <f t="shared" ref="C7:X7" si="3">IF(C6=0,0,C6/C5)</f>
        <v>0.92546583850931674</v>
      </c>
      <c r="D7" s="7">
        <f t="shared" si="3"/>
        <v>0.85093167701863359</v>
      </c>
      <c r="E7" s="7">
        <f t="shared" si="3"/>
        <v>0.78260869565217395</v>
      </c>
      <c r="F7" s="7">
        <f t="shared" si="3"/>
        <v>0.8571428571428571</v>
      </c>
      <c r="G7" s="7">
        <f t="shared" si="3"/>
        <v>0.67701863354037262</v>
      </c>
      <c r="H7" s="7">
        <f t="shared" si="3"/>
        <v>0.70186335403726707</v>
      </c>
      <c r="I7" s="7">
        <f t="shared" si="3"/>
        <v>0.65838509316770188</v>
      </c>
      <c r="J7" s="7">
        <f t="shared" si="3"/>
        <v>0.91925465838509313</v>
      </c>
      <c r="K7" s="7">
        <f t="shared" si="3"/>
        <v>0.93167701863354035</v>
      </c>
      <c r="L7" s="7">
        <f t="shared" si="3"/>
        <v>0.90062111801242239</v>
      </c>
      <c r="M7" s="7">
        <f t="shared" si="3"/>
        <v>0.94409937888198758</v>
      </c>
      <c r="N7" s="7">
        <f t="shared" si="3"/>
        <v>0.93788819875776397</v>
      </c>
      <c r="O7" s="7">
        <f t="shared" si="3"/>
        <v>0.88819875776397517</v>
      </c>
      <c r="P7" s="7">
        <f t="shared" si="3"/>
        <v>0.9503105590062112</v>
      </c>
      <c r="Q7" s="7">
        <f t="shared" si="3"/>
        <v>0.91925465838509313</v>
      </c>
      <c r="R7" s="7">
        <f t="shared" si="3"/>
        <v>0.99378881987577639</v>
      </c>
      <c r="S7" s="7">
        <f t="shared" si="3"/>
        <v>0.85093167701863359</v>
      </c>
      <c r="T7" s="7">
        <f t="shared" si="3"/>
        <v>0.89440993788819878</v>
      </c>
      <c r="U7" s="7">
        <f t="shared" si="3"/>
        <v>0.96894409937888204</v>
      </c>
      <c r="V7" s="7">
        <f t="shared" si="3"/>
        <v>0.96894409937888204</v>
      </c>
      <c r="W7" s="7">
        <f t="shared" si="3"/>
        <v>0.95652173913043481</v>
      </c>
      <c r="X7" s="7">
        <f t="shared" si="3"/>
        <v>0.91304347826086951</v>
      </c>
      <c r="Y7" s="7">
        <f t="shared" ref="Y7:AG7" si="4">IF(Y6=0,0,Y6/Y5)</f>
        <v>0.99378881987577639</v>
      </c>
      <c r="Z7" s="7">
        <f t="shared" si="4"/>
        <v>0.93827160493827155</v>
      </c>
      <c r="AA7" s="7">
        <f t="shared" si="4"/>
        <v>0.72839506172839508</v>
      </c>
      <c r="AB7" s="7">
        <f t="shared" si="4"/>
        <v>0.80246913580246915</v>
      </c>
      <c r="AC7" s="7">
        <f t="shared" si="4"/>
        <v>0.66666666666666663</v>
      </c>
      <c r="AD7" s="7">
        <f t="shared" si="4"/>
        <v>0.72222222222222221</v>
      </c>
      <c r="AE7" s="7">
        <f t="shared" si="4"/>
        <v>0</v>
      </c>
      <c r="AF7" s="7">
        <f t="shared" si="4"/>
        <v>0</v>
      </c>
      <c r="AG7" s="7">
        <f t="shared" si="4"/>
        <v>0</v>
      </c>
    </row>
    <row r="8" spans="1:33">
      <c r="A8" s="4" t="s">
        <v>5</v>
      </c>
      <c r="B8" s="6">
        <f>IF(B6=0,0,B11/B6)</f>
        <v>1158.0623752239567</v>
      </c>
      <c r="C8" s="6">
        <f>IF(C6=0,0,C11/C6)</f>
        <v>937.39879194630885</v>
      </c>
      <c r="D8" s="6">
        <f>IF(D6=0,0,D11/D6)</f>
        <v>1082.2195620437956</v>
      </c>
      <c r="E8" s="6">
        <f t="shared" ref="E8:AD8" si="5">IF(E6=0,0,E11/E6)</f>
        <v>1114.8063492063493</v>
      </c>
      <c r="F8" s="6">
        <f t="shared" si="5"/>
        <v>1047.2238405797102</v>
      </c>
      <c r="G8" s="6">
        <f t="shared" si="5"/>
        <v>1329.0212844036698</v>
      </c>
      <c r="H8" s="6">
        <f t="shared" si="5"/>
        <v>1325.2233628318584</v>
      </c>
      <c r="I8" s="6">
        <f t="shared" si="5"/>
        <v>1336.0190566037734</v>
      </c>
      <c r="J8" s="6">
        <f t="shared" si="5"/>
        <v>1137.5745945945946</v>
      </c>
      <c r="K8" s="6">
        <f t="shared" si="5"/>
        <v>1121.4877333333334</v>
      </c>
      <c r="L8" s="6">
        <f t="shared" si="5"/>
        <v>1205.6004137931034</v>
      </c>
      <c r="M8" s="6">
        <f t="shared" si="5"/>
        <v>1213.295592105263</v>
      </c>
      <c r="N8" s="6">
        <f t="shared" si="5"/>
        <v>1269.4144370860927</v>
      </c>
      <c r="O8" s="6">
        <f t="shared" si="5"/>
        <v>1177.3621678321679</v>
      </c>
      <c r="P8" s="6">
        <f t="shared" si="5"/>
        <v>1151.9515032679737</v>
      </c>
      <c r="Q8" s="6">
        <f t="shared" si="5"/>
        <v>1220.7017567567566</v>
      </c>
      <c r="R8" s="6">
        <f t="shared" si="5"/>
        <v>1157.4413749999999</v>
      </c>
      <c r="S8" s="6">
        <f t="shared" si="5"/>
        <v>1149.1831386861313</v>
      </c>
      <c r="T8" s="6">
        <f t="shared" si="5"/>
        <v>1154.4991666666667</v>
      </c>
      <c r="U8" s="6">
        <f t="shared" si="5"/>
        <v>1064.8380769230769</v>
      </c>
      <c r="V8" s="6">
        <f t="shared" si="5"/>
        <v>1064.5173717948717</v>
      </c>
      <c r="W8" s="6">
        <f t="shared" si="5"/>
        <v>1143.6012337662337</v>
      </c>
      <c r="X8" s="6">
        <f t="shared" si="5"/>
        <v>1392.4312925170068</v>
      </c>
      <c r="Y8" s="6">
        <f t="shared" si="5"/>
        <v>1162.1708125</v>
      </c>
      <c r="Z8" s="6">
        <f t="shared" si="5"/>
        <v>1153.7907236842104</v>
      </c>
      <c r="AA8" s="6">
        <f t="shared" si="5"/>
        <v>1255.883559322034</v>
      </c>
      <c r="AB8" s="6">
        <f t="shared" si="5"/>
        <v>976.10430769230766</v>
      </c>
      <c r="AC8" s="6">
        <f t="shared" si="5"/>
        <v>1060.3407407407408</v>
      </c>
      <c r="AD8" s="6">
        <f t="shared" si="5"/>
        <v>1109.7347008547008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1002.5592067360953</v>
      </c>
      <c r="C9" s="6">
        <f t="shared" ref="C9:AD9" si="6">IF(C11=0,0,C11/C3)</f>
        <v>867.53055900621121</v>
      </c>
      <c r="D9" s="6">
        <f t="shared" si="6"/>
        <v>920.89490683229803</v>
      </c>
      <c r="E9" s="6">
        <f t="shared" si="6"/>
        <v>872.45714285714291</v>
      </c>
      <c r="F9" s="6">
        <f t="shared" si="6"/>
        <v>897.62043478260875</v>
      </c>
      <c r="G9" s="6">
        <f t="shared" si="6"/>
        <v>899.7721739130435</v>
      </c>
      <c r="H9" s="6">
        <f t="shared" si="6"/>
        <v>930.12571428571425</v>
      </c>
      <c r="I9" s="6">
        <f t="shared" si="6"/>
        <v>879.61503105590054</v>
      </c>
      <c r="J9" s="6">
        <f t="shared" si="6"/>
        <v>1045.7207453416149</v>
      </c>
      <c r="K9" s="6">
        <f t="shared" si="6"/>
        <v>1044.8643478260869</v>
      </c>
      <c r="L9" s="6">
        <f t="shared" si="6"/>
        <v>1085.7891925465838</v>
      </c>
      <c r="M9" s="6">
        <f t="shared" si="6"/>
        <v>1145.4716149068322</v>
      </c>
      <c r="N9" s="6">
        <f t="shared" si="6"/>
        <v>1190.5688198757764</v>
      </c>
      <c r="O9" s="6">
        <f t="shared" si="6"/>
        <v>1045.7316149068324</v>
      </c>
      <c r="P9" s="6">
        <f t="shared" si="6"/>
        <v>1094.7116770186335</v>
      </c>
      <c r="Q9" s="6">
        <f t="shared" si="6"/>
        <v>1122.1357763975154</v>
      </c>
      <c r="R9" s="6">
        <f t="shared" si="6"/>
        <v>1150.252298136646</v>
      </c>
      <c r="S9" s="6">
        <f t="shared" si="6"/>
        <v>977.87633540372667</v>
      </c>
      <c r="T9" s="6">
        <f t="shared" si="6"/>
        <v>1032.5955279503105</v>
      </c>
      <c r="U9" s="6">
        <f t="shared" si="6"/>
        <v>1031.7685714285715</v>
      </c>
      <c r="V9" s="6">
        <f t="shared" si="6"/>
        <v>1031.4578260869564</v>
      </c>
      <c r="W9" s="6">
        <f t="shared" si="6"/>
        <v>1093.8794409937889</v>
      </c>
      <c r="X9" s="6">
        <f t="shared" si="6"/>
        <v>1271.3503105590062</v>
      </c>
      <c r="Y9" s="6">
        <f t="shared" si="6"/>
        <v>1154.9523602484471</v>
      </c>
      <c r="Z9" s="6">
        <f t="shared" si="6"/>
        <v>1082.569074074074</v>
      </c>
      <c r="AA9" s="6">
        <f t="shared" si="6"/>
        <v>914.77938271604944</v>
      </c>
      <c r="AB9" s="6">
        <f t="shared" si="6"/>
        <v>783.29358024691362</v>
      </c>
      <c r="AC9" s="6">
        <f t="shared" si="6"/>
        <v>706.89382716049386</v>
      </c>
      <c r="AD9" s="6">
        <f t="shared" si="6"/>
        <v>801.47506172839508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829479.81</v>
      </c>
      <c r="D10" s="29">
        <f>C25</f>
        <v>907257.3600000001</v>
      </c>
      <c r="E10" s="29">
        <f t="shared" ref="E10:AD10" si="7">D25</f>
        <v>857886.76</v>
      </c>
      <c r="F10" s="29">
        <f t="shared" si="7"/>
        <v>857792.26</v>
      </c>
      <c r="G10" s="29">
        <f t="shared" si="7"/>
        <v>896590.46</v>
      </c>
      <c r="H10" s="29">
        <f t="shared" si="7"/>
        <v>890184.54</v>
      </c>
      <c r="I10" s="29">
        <f t="shared" si="7"/>
        <v>908708.62000000011</v>
      </c>
      <c r="J10" s="29">
        <f t="shared" si="7"/>
        <v>891658.8</v>
      </c>
      <c r="K10" s="29">
        <f t="shared" si="7"/>
        <v>1055972.7000000002</v>
      </c>
      <c r="L10" s="29">
        <f t="shared" si="7"/>
        <v>1048695.7300000002</v>
      </c>
      <c r="M10" s="29">
        <f t="shared" si="7"/>
        <v>1018578.7400000003</v>
      </c>
      <c r="N10" s="29">
        <f t="shared" si="7"/>
        <v>1127816.7600000005</v>
      </c>
      <c r="O10" s="29">
        <f t="shared" si="7"/>
        <v>1062985.7100000004</v>
      </c>
      <c r="P10" s="29">
        <f t="shared" si="7"/>
        <v>1091702.6200000003</v>
      </c>
      <c r="Q10" s="29">
        <f t="shared" si="7"/>
        <v>1235717.7700000003</v>
      </c>
      <c r="R10" s="29">
        <f t="shared" si="7"/>
        <v>1302312.9900000002</v>
      </c>
      <c r="S10" s="29">
        <f t="shared" si="7"/>
        <v>1195855.7400000002</v>
      </c>
      <c r="T10" s="29">
        <f t="shared" si="7"/>
        <v>961075.91000000015</v>
      </c>
      <c r="U10" s="29">
        <f t="shared" si="7"/>
        <v>1089918.1400000001</v>
      </c>
      <c r="V10" s="29">
        <f t="shared" si="7"/>
        <v>982023.56</v>
      </c>
      <c r="W10" s="29">
        <f t="shared" si="7"/>
        <v>944887.1</v>
      </c>
      <c r="X10" s="29">
        <f t="shared" si="7"/>
        <v>964122.90999999992</v>
      </c>
      <c r="Y10" s="29">
        <f t="shared" si="7"/>
        <v>1019047.8199999998</v>
      </c>
      <c r="Z10" s="29">
        <f t="shared" si="7"/>
        <v>1076428.8599999999</v>
      </c>
      <c r="AA10" s="29">
        <f t="shared" si="7"/>
        <v>1042024.2899999998</v>
      </c>
      <c r="AB10" s="29">
        <f t="shared" si="7"/>
        <v>972390.44999999972</v>
      </c>
      <c r="AC10" s="29">
        <f t="shared" si="7"/>
        <v>1013334.7199999999</v>
      </c>
      <c r="AD10" s="29">
        <f t="shared" si="7"/>
        <v>732856.24999999977</v>
      </c>
      <c r="AE10" s="29">
        <f>AD25</f>
        <v>650596.18999999971</v>
      </c>
      <c r="AF10" s="29">
        <f>AE25</f>
        <v>650596.18999999971</v>
      </c>
      <c r="AG10" s="29">
        <f>AF25</f>
        <v>650596.18999999971</v>
      </c>
    </row>
    <row r="11" spans="1:33">
      <c r="A11" s="4" t="s">
        <v>8</v>
      </c>
      <c r="B11" s="23">
        <f>SUM(C11:AG11)</f>
        <v>4524549.6999999983</v>
      </c>
      <c r="C11" s="23">
        <v>139672.42000000001</v>
      </c>
      <c r="D11" s="23">
        <v>148264.07999999999</v>
      </c>
      <c r="E11" s="23">
        <v>140465.60000000001</v>
      </c>
      <c r="F11" s="23">
        <v>144516.89000000001</v>
      </c>
      <c r="G11" s="23">
        <v>144863.32</v>
      </c>
      <c r="H11" s="23">
        <v>149750.24</v>
      </c>
      <c r="I11" s="23">
        <v>141618.01999999999</v>
      </c>
      <c r="J11" s="23">
        <v>168361.04</v>
      </c>
      <c r="K11" s="23">
        <v>168223.16</v>
      </c>
      <c r="L11" s="23">
        <v>174812.06</v>
      </c>
      <c r="M11" s="23">
        <v>184420.93</v>
      </c>
      <c r="N11" s="23">
        <v>191681.58</v>
      </c>
      <c r="O11" s="23">
        <v>168362.79</v>
      </c>
      <c r="P11" s="23">
        <v>176248.58</v>
      </c>
      <c r="Q11" s="23">
        <v>180663.86</v>
      </c>
      <c r="R11" s="23">
        <v>185190.62</v>
      </c>
      <c r="S11" s="23">
        <v>157438.09</v>
      </c>
      <c r="T11" s="23">
        <v>166247.88</v>
      </c>
      <c r="U11" s="23">
        <v>166114.74</v>
      </c>
      <c r="V11" s="23">
        <v>166064.71</v>
      </c>
      <c r="W11" s="23">
        <v>176114.59</v>
      </c>
      <c r="X11" s="23">
        <v>204687.4</v>
      </c>
      <c r="Y11" s="23">
        <v>185947.33</v>
      </c>
      <c r="Z11" s="23">
        <v>175376.19</v>
      </c>
      <c r="AA11" s="23">
        <v>148194.26</v>
      </c>
      <c r="AB11" s="23">
        <v>126893.56</v>
      </c>
      <c r="AC11" s="23">
        <v>114516.8</v>
      </c>
      <c r="AD11" s="23">
        <v>129838.96</v>
      </c>
      <c r="AE11" s="23"/>
      <c r="AF11" s="23"/>
      <c r="AG11" s="23"/>
    </row>
    <row r="12" spans="1:33">
      <c r="A12" s="4" t="s">
        <v>9</v>
      </c>
      <c r="B12" s="23">
        <f>SUM(C12:AG12)</f>
        <v>677245</v>
      </c>
      <c r="C12" s="23">
        <f>26420+110</f>
        <v>26530</v>
      </c>
      <c r="D12" s="23">
        <v>23600</v>
      </c>
      <c r="E12" s="23">
        <v>20660</v>
      </c>
      <c r="F12" s="23">
        <f>22440+415</f>
        <v>22855</v>
      </c>
      <c r="G12" s="23">
        <v>16940</v>
      </c>
      <c r="H12" s="23">
        <f>16400+155</f>
        <v>16555</v>
      </c>
      <c r="I12" s="23">
        <f>15260+150</f>
        <v>15410</v>
      </c>
      <c r="J12" s="23">
        <f>25420+35</f>
        <v>25455</v>
      </c>
      <c r="K12" s="23">
        <f>26040+620</f>
        <v>26660</v>
      </c>
      <c r="L12" s="23">
        <f>26480+260</f>
        <v>26740</v>
      </c>
      <c r="M12" s="23">
        <f>27900+440</f>
        <v>28340</v>
      </c>
      <c r="N12" s="23">
        <f>28700</f>
        <v>28700</v>
      </c>
      <c r="O12" s="23">
        <f>25560+90</f>
        <v>25650</v>
      </c>
      <c r="P12" s="23">
        <v>28400</v>
      </c>
      <c r="Q12" s="23">
        <f>27260+130</f>
        <v>27390</v>
      </c>
      <c r="R12" s="23">
        <f>30760+170</f>
        <v>30930</v>
      </c>
      <c r="S12" s="23">
        <f>23060+55</f>
        <v>23115</v>
      </c>
      <c r="T12" s="23">
        <f>24160+165</f>
        <v>24325</v>
      </c>
      <c r="U12" s="23">
        <f>27710+360</f>
        <v>28070</v>
      </c>
      <c r="V12" s="23">
        <f>28260+70</f>
        <v>28330</v>
      </c>
      <c r="W12" s="23">
        <f>26960+70</f>
        <v>27030</v>
      </c>
      <c r="X12" s="23">
        <f>25460+165</f>
        <v>25625</v>
      </c>
      <c r="Y12" s="23">
        <f>27560+225</f>
        <v>27785</v>
      </c>
      <c r="Z12" s="23">
        <f>26740+300</f>
        <v>27040</v>
      </c>
      <c r="AA12" s="23">
        <f>18740+110</f>
        <v>18850</v>
      </c>
      <c r="AB12" s="23">
        <f>21515+605</f>
        <v>22120</v>
      </c>
      <c r="AC12" s="23">
        <f>16220</f>
        <v>16220</v>
      </c>
      <c r="AD12" s="23">
        <v>17920</v>
      </c>
      <c r="AE12" s="23"/>
      <c r="AF12" s="23"/>
      <c r="AG12" s="23"/>
    </row>
    <row r="13" spans="1:33">
      <c r="A13" s="8" t="s">
        <v>10</v>
      </c>
      <c r="B13" s="23">
        <f>SUM(C13:AG13)</f>
        <v>1126084.76</v>
      </c>
      <c r="C13" s="24">
        <f>193987.55-C12-C11</f>
        <v>27785.129999999976</v>
      </c>
      <c r="D13" s="24">
        <f>200392.4-D12-D11</f>
        <v>28528.320000000007</v>
      </c>
      <c r="E13" s="24">
        <f>191854.78-E12-E11</f>
        <v>30729.179999999993</v>
      </c>
      <c r="F13" s="24">
        <f>195496-F12-F11</f>
        <v>28124.109999999986</v>
      </c>
      <c r="G13" s="24">
        <f>190512.08-G12-G11</f>
        <v>28708.75999999998</v>
      </c>
      <c r="H13" s="24">
        <f>194611.08-H12-H11</f>
        <v>28305.839999999997</v>
      </c>
      <c r="I13" s="24">
        <f>184658.18-I12-I11</f>
        <v>27630.160000000003</v>
      </c>
      <c r="J13" s="24">
        <f>248719.6-J12-J11</f>
        <v>54903.56</v>
      </c>
      <c r="K13" s="23">
        <f>232600.96-K12-K11</f>
        <v>37717.799999999988</v>
      </c>
      <c r="L13" s="23">
        <f>238834.85-L12-L11</f>
        <v>37282.790000000008</v>
      </c>
      <c r="M13" s="23">
        <f>250820.26-M12-M11</f>
        <v>38059.330000000016</v>
      </c>
      <c r="N13" s="23">
        <f>257129.81-N12-N11</f>
        <v>36748.23000000001</v>
      </c>
      <c r="O13" s="23">
        <f>224721.97-O12-O11</f>
        <v>30709.179999999993</v>
      </c>
      <c r="P13" s="23">
        <f>265594.68-P12-P11</f>
        <v>60946.100000000006</v>
      </c>
      <c r="Q13" s="23">
        <f>265518.22-Q12-Q11</f>
        <v>57464.359999999986</v>
      </c>
      <c r="R13" s="23">
        <f>251492.96-R12-R11</f>
        <v>35372.339999999997</v>
      </c>
      <c r="S13" s="23">
        <f>229480.74-S12-S11</f>
        <v>48927.649999999994</v>
      </c>
      <c r="T13" s="23">
        <f>224298.83-T12-T11</f>
        <v>33725.949999999983</v>
      </c>
      <c r="U13" s="23">
        <f>228358.66-U12-U11</f>
        <v>34173.920000000013</v>
      </c>
      <c r="V13" s="23">
        <f>227254.66-V12-V11</f>
        <v>32859.950000000012</v>
      </c>
      <c r="W13" s="23">
        <f>242023.01-W12-W11</f>
        <v>38878.420000000013</v>
      </c>
      <c r="X13" s="23">
        <f>272442.17-X12-X11</f>
        <v>42129.76999999999</v>
      </c>
      <c r="Y13" s="23">
        <f>255757.84-Y12-Y11</f>
        <v>42025.510000000009</v>
      </c>
      <c r="Z13" s="23">
        <f>244257.94-Z12-Z11</f>
        <v>41841.75</v>
      </c>
      <c r="AA13" s="23">
        <f>193368.37-AA12-AA11</f>
        <v>26324.109999999986</v>
      </c>
      <c r="AB13" s="23">
        <f>181473.87-AB11-AB12</f>
        <v>32460.309999999998</v>
      </c>
      <c r="AC13" s="23">
        <f>153490.53-114516.8-16220</f>
        <v>22753.729999999996</v>
      </c>
      <c r="AD13" s="23">
        <f>288727.46-AD12-AD11</f>
        <v>140968.5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6327879.4599999981</v>
      </c>
      <c r="C14" s="18">
        <f>SUM(C11:C13)</f>
        <v>193987.55</v>
      </c>
      <c r="D14" s="18">
        <f t="shared" ref="D14:AB14" si="8">SUM(D11:D13)</f>
        <v>200392.4</v>
      </c>
      <c r="E14" s="18">
        <f t="shared" si="8"/>
        <v>191854.78</v>
      </c>
      <c r="F14" s="18">
        <f t="shared" si="8"/>
        <v>195496</v>
      </c>
      <c r="G14" s="18">
        <f t="shared" si="8"/>
        <v>190512.08</v>
      </c>
      <c r="H14" s="18">
        <f t="shared" si="8"/>
        <v>194611.08</v>
      </c>
      <c r="I14" s="18">
        <f t="shared" si="8"/>
        <v>184658.18</v>
      </c>
      <c r="J14" s="18">
        <f t="shared" si="8"/>
        <v>248719.6</v>
      </c>
      <c r="K14" s="18">
        <f t="shared" si="8"/>
        <v>232600.95999999999</v>
      </c>
      <c r="L14" s="18">
        <f t="shared" si="8"/>
        <v>238834.85</v>
      </c>
      <c r="M14" s="18">
        <f t="shared" si="8"/>
        <v>250820.26</v>
      </c>
      <c r="N14" s="18">
        <f t="shared" si="8"/>
        <v>257129.81</v>
      </c>
      <c r="O14" s="18">
        <f t="shared" si="8"/>
        <v>224721.97</v>
      </c>
      <c r="P14" s="18">
        <f t="shared" si="8"/>
        <v>265594.68</v>
      </c>
      <c r="Q14" s="18">
        <f t="shared" si="8"/>
        <v>265518.21999999997</v>
      </c>
      <c r="R14" s="18">
        <f t="shared" si="8"/>
        <v>251492.96</v>
      </c>
      <c r="S14" s="18">
        <f t="shared" si="8"/>
        <v>229480.74</v>
      </c>
      <c r="T14" s="18">
        <f t="shared" si="8"/>
        <v>224298.83</v>
      </c>
      <c r="U14" s="18">
        <f t="shared" si="8"/>
        <v>228358.66</v>
      </c>
      <c r="V14" s="18">
        <f t="shared" si="8"/>
        <v>227254.66</v>
      </c>
      <c r="W14" s="18">
        <f t="shared" si="8"/>
        <v>242023.01</v>
      </c>
      <c r="X14" s="18">
        <f t="shared" si="8"/>
        <v>272442.17</v>
      </c>
      <c r="Y14" s="18">
        <f t="shared" si="8"/>
        <v>255757.84</v>
      </c>
      <c r="Z14" s="18">
        <f t="shared" si="8"/>
        <v>244257.94</v>
      </c>
      <c r="AA14" s="18">
        <f t="shared" si="8"/>
        <v>193368.37</v>
      </c>
      <c r="AB14" s="18">
        <f t="shared" si="8"/>
        <v>181473.87</v>
      </c>
      <c r="AC14" s="18">
        <f>SUM(AC11:AC13)</f>
        <v>153490.53</v>
      </c>
      <c r="AD14" s="18">
        <f>SUM(AD11:AD13)</f>
        <v>288727.46000000002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996752.20000000007</v>
      </c>
      <c r="C15" s="23">
        <f>3310+11000</f>
        <v>14310</v>
      </c>
      <c r="D15" s="23">
        <f>7800+14000-2965</f>
        <v>18835</v>
      </c>
      <c r="E15" s="23">
        <f>3250.8+7000-13000</f>
        <v>-2749.2000000000007</v>
      </c>
      <c r="F15" s="23">
        <f>60715+5000-8000</f>
        <v>57715</v>
      </c>
      <c r="G15" s="23">
        <f>41000+11000-1000</f>
        <v>51000</v>
      </c>
      <c r="H15" s="23">
        <f>5755+4000-6000</f>
        <v>3755</v>
      </c>
      <c r="I15" s="23">
        <f>85050+7000-5000</f>
        <v>87050</v>
      </c>
      <c r="J15" s="23">
        <f>27035+3000-11000-5000</f>
        <v>14035</v>
      </c>
      <c r="K15" s="23">
        <f>91920+5000-9000</f>
        <v>87920</v>
      </c>
      <c r="L15" s="23">
        <f>112560+11000-48000</f>
        <v>75560</v>
      </c>
      <c r="M15" s="23">
        <f>1440+14000-11000</f>
        <v>4440</v>
      </c>
      <c r="N15" s="23">
        <f>1900+5000-12461.8-10200</f>
        <v>-15761.8</v>
      </c>
      <c r="O15" s="23">
        <f>4049.7+4000-7672.4</f>
        <v>377.30000000000018</v>
      </c>
      <c r="P15" s="23">
        <f>2508.95+44000-8910</f>
        <v>37598.949999999997</v>
      </c>
      <c r="Q15" s="23">
        <f>16288.5+9000-3262.9-5000</f>
        <v>17025.599999999999</v>
      </c>
      <c r="R15" s="23">
        <f>39270+6000-7549.55</f>
        <v>37720.449999999997</v>
      </c>
      <c r="S15" s="23">
        <f>9655+21500-12000</f>
        <v>19155</v>
      </c>
      <c r="T15" s="23">
        <f>7055+1000-11000</f>
        <v>-2945</v>
      </c>
      <c r="U15" s="23">
        <f>82035+10600-2000+47500</f>
        <v>138135</v>
      </c>
      <c r="V15" s="23">
        <f>21170+11000-3000</f>
        <v>29170</v>
      </c>
      <c r="W15" s="23">
        <f>17670+6000-13000</f>
        <v>10670</v>
      </c>
      <c r="X15" s="23">
        <f>91833.9+3000-3000</f>
        <v>91833.9</v>
      </c>
      <c r="Y15" s="23">
        <f>3725+8000-7000</f>
        <v>4725</v>
      </c>
      <c r="Z15" s="23">
        <f>11900+24800-13000</f>
        <v>23700</v>
      </c>
      <c r="AA15" s="23">
        <f>5910-9000</f>
        <v>-3090</v>
      </c>
      <c r="AB15" s="23">
        <f>4780+6600-10000</f>
        <v>1380</v>
      </c>
      <c r="AC15" s="23">
        <f>191513.55+3700-4666.55</f>
        <v>190547</v>
      </c>
      <c r="AD15" s="23">
        <f>1640+4000-1000</f>
        <v>4640</v>
      </c>
      <c r="AE15" s="23"/>
      <c r="AF15" s="23"/>
      <c r="AG15" s="23"/>
    </row>
    <row r="16" spans="1:33">
      <c r="A16" s="16" t="s">
        <v>16</v>
      </c>
      <c r="B16" s="23">
        <f t="shared" si="9"/>
        <v>1948089.79</v>
      </c>
      <c r="C16" s="23">
        <f>30000+1500</f>
        <v>31500</v>
      </c>
      <c r="D16" s="23">
        <v>2200</v>
      </c>
      <c r="E16" s="23">
        <v>23908.48</v>
      </c>
      <c r="F16" s="23">
        <v>40242.800000000003</v>
      </c>
      <c r="G16" s="23">
        <v>19000</v>
      </c>
      <c r="H16" s="23">
        <f>11500+38400</f>
        <v>49900</v>
      </c>
      <c r="I16" s="23">
        <f>7600+9500</f>
        <v>17100</v>
      </c>
      <c r="J16" s="23">
        <v>38070.699999999997</v>
      </c>
      <c r="K16" s="23">
        <f>3800+30220.6</f>
        <v>34020.6</v>
      </c>
      <c r="L16" s="23">
        <f>30300+1519.84</f>
        <v>31819.84</v>
      </c>
      <c r="M16" s="23">
        <f>7600+21160.48</f>
        <v>28760.48</v>
      </c>
      <c r="N16" s="23">
        <f>70500+101051.66</f>
        <v>171551.66</v>
      </c>
      <c r="O16" s="23">
        <v>20479.759999999998</v>
      </c>
      <c r="P16" s="23">
        <f>13303.5+40777.08</f>
        <v>54080.58</v>
      </c>
      <c r="Q16" s="23">
        <f>15200+74033.4</f>
        <v>89233.4</v>
      </c>
      <c r="R16" s="23">
        <f>30000+53059.76</f>
        <v>83059.760000000009</v>
      </c>
      <c r="S16" s="23">
        <f>137800+143535.57</f>
        <v>281335.57</v>
      </c>
      <c r="T16" s="23">
        <v>15601.6</v>
      </c>
      <c r="U16" s="23">
        <f>101718.24+13200</f>
        <v>114918.24</v>
      </c>
      <c r="V16" s="23">
        <f>111537.12+3800</f>
        <v>115337.12</v>
      </c>
      <c r="W16" s="23">
        <f>11841.2+8000+120000</f>
        <v>139841.20000000001</v>
      </c>
      <c r="X16" s="23">
        <f>14679.36+5600</f>
        <v>20279.36</v>
      </c>
      <c r="Y16" s="23">
        <f>33496.8+37273</f>
        <v>70769.8</v>
      </c>
      <c r="Z16" s="23">
        <f>9000+45815.84</f>
        <v>54815.839999999997</v>
      </c>
      <c r="AA16" s="23">
        <f>20718.88</f>
        <v>20718.88</v>
      </c>
      <c r="AB16" s="23">
        <f>24000+31638.6</f>
        <v>55638.6</v>
      </c>
      <c r="AC16" s="23">
        <f>61000</f>
        <v>61000</v>
      </c>
      <c r="AD16" s="23">
        <f>75258.92+187646.6</f>
        <v>262905.52</v>
      </c>
      <c r="AE16" s="23"/>
      <c r="AF16" s="23"/>
      <c r="AG16" s="23"/>
    </row>
    <row r="17" spans="1:33">
      <c r="A17" s="16" t="s">
        <v>17</v>
      </c>
      <c r="B17" s="23">
        <f t="shared" si="9"/>
        <v>475900</v>
      </c>
      <c r="C17" s="23">
        <v>10000</v>
      </c>
      <c r="D17" s="23"/>
      <c r="E17" s="23"/>
      <c r="F17" s="23">
        <v>3400</v>
      </c>
      <c r="G17" s="23">
        <v>7000</v>
      </c>
      <c r="H17" s="23">
        <v>68200</v>
      </c>
      <c r="I17" s="23">
        <v>42500</v>
      </c>
      <c r="J17" s="23">
        <v>56200</v>
      </c>
      <c r="K17" s="23"/>
      <c r="L17" s="23">
        <v>30000</v>
      </c>
      <c r="M17" s="23">
        <v>105200</v>
      </c>
      <c r="N17" s="23"/>
      <c r="O17" s="23">
        <v>20700</v>
      </c>
      <c r="P17" s="23">
        <v>33000</v>
      </c>
      <c r="Q17" s="23"/>
      <c r="R17" s="23"/>
      <c r="S17" s="23"/>
      <c r="T17" s="23">
        <v>20000</v>
      </c>
      <c r="U17" s="23">
        <v>17000</v>
      </c>
      <c r="V17" s="23"/>
      <c r="W17" s="23">
        <v>17600</v>
      </c>
      <c r="X17" s="23">
        <v>25600</v>
      </c>
      <c r="Y17" s="23">
        <v>3900</v>
      </c>
      <c r="Z17" s="23"/>
      <c r="AA17" s="23">
        <v>15600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9"/>
        <v>185199</v>
      </c>
      <c r="C19" s="23"/>
      <c r="D19" s="23"/>
      <c r="E19" s="23"/>
      <c r="F19" s="23"/>
      <c r="G19" s="23"/>
      <c r="H19" s="23"/>
      <c r="I19" s="23"/>
      <c r="J19" s="23"/>
      <c r="K19" s="23">
        <v>62010</v>
      </c>
      <c r="L19" s="23">
        <v>1900</v>
      </c>
      <c r="M19" s="23"/>
      <c r="N19" s="23">
        <v>64077</v>
      </c>
      <c r="O19" s="23"/>
      <c r="P19" s="23">
        <v>7500</v>
      </c>
      <c r="Q19" s="23"/>
      <c r="R19" s="23"/>
      <c r="S19" s="23">
        <v>28812</v>
      </c>
      <c r="T19" s="23"/>
      <c r="U19" s="23"/>
      <c r="V19" s="23"/>
      <c r="W19" s="23"/>
      <c r="X19" s="23"/>
      <c r="Y19" s="23"/>
      <c r="Z19" s="23"/>
      <c r="AA19" s="23">
        <v>3800</v>
      </c>
      <c r="AB19" s="23"/>
      <c r="AC19" s="23">
        <v>17100</v>
      </c>
      <c r="AD19" s="23"/>
      <c r="AE19" s="23"/>
      <c r="AF19" s="23"/>
      <c r="AG19" s="23"/>
    </row>
    <row r="20" spans="1:33">
      <c r="A20" s="16" t="s">
        <v>20</v>
      </c>
      <c r="B20" s="23">
        <f t="shared" si="9"/>
        <v>17424.09</v>
      </c>
      <c r="C20" s="23"/>
      <c r="D20" s="23"/>
      <c r="E20" s="23"/>
      <c r="F20" s="23"/>
      <c r="G20" s="23"/>
      <c r="H20" s="23"/>
      <c r="I20" s="23"/>
      <c r="J20" s="23"/>
      <c r="K20" s="23">
        <v>1573.33</v>
      </c>
      <c r="L20" s="23"/>
      <c r="M20" s="23">
        <v>2830.76</v>
      </c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>
        <v>9946.67</v>
      </c>
      <c r="AA20" s="23">
        <v>3073.33</v>
      </c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9"/>
        <v>2688598</v>
      </c>
      <c r="C21" s="23"/>
      <c r="D21" s="23">
        <v>95828</v>
      </c>
      <c r="E21" s="23">
        <v>160790</v>
      </c>
      <c r="F21" s="23">
        <v>50240</v>
      </c>
      <c r="G21" s="23">
        <v>116518</v>
      </c>
      <c r="H21" s="23">
        <v>90232</v>
      </c>
      <c r="I21" s="23">
        <v>70358</v>
      </c>
      <c r="J21" s="23"/>
      <c r="K21" s="23">
        <v>54354</v>
      </c>
      <c r="L21" s="23">
        <v>125472</v>
      </c>
      <c r="M21" s="23">
        <v>68351</v>
      </c>
      <c r="N21" s="23">
        <v>59094</v>
      </c>
      <c r="O21" s="23">
        <v>154448</v>
      </c>
      <c r="P21" s="23">
        <v>62400</v>
      </c>
      <c r="Q21" s="23">
        <v>92664</v>
      </c>
      <c r="R21" s="23">
        <v>162570</v>
      </c>
      <c r="S21" s="23">
        <v>130358</v>
      </c>
      <c r="T21" s="23">
        <v>82700</v>
      </c>
      <c r="U21" s="23"/>
      <c r="V21" s="23">
        <v>102884</v>
      </c>
      <c r="W21" s="23">
        <v>172276</v>
      </c>
      <c r="X21" s="23">
        <v>79804</v>
      </c>
      <c r="Y21" s="23">
        <v>122882</v>
      </c>
      <c r="Z21" s="23">
        <v>162100</v>
      </c>
      <c r="AA21" s="23">
        <v>102900</v>
      </c>
      <c r="AB21" s="23">
        <v>89111</v>
      </c>
      <c r="AC21" s="23">
        <v>178522</v>
      </c>
      <c r="AD21" s="23">
        <v>101742</v>
      </c>
      <c r="AE21" s="23"/>
      <c r="AF21" s="23"/>
      <c r="AG21" s="23"/>
    </row>
    <row r="22" spans="1:33">
      <c r="A22" s="16" t="s">
        <v>22</v>
      </c>
      <c r="B22" s="23">
        <f t="shared" si="9"/>
        <v>100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>
        <v>100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9"/>
        <v>194700</v>
      </c>
      <c r="C23" s="24">
        <f>-11000+71400</f>
        <v>60400</v>
      </c>
      <c r="D23" s="24">
        <v>132900</v>
      </c>
      <c r="E23" s="24">
        <v>10000</v>
      </c>
      <c r="F23" s="24">
        <v>5100</v>
      </c>
      <c r="G23" s="24">
        <v>3400</v>
      </c>
      <c r="H23" s="24">
        <v>-36000</v>
      </c>
      <c r="I23" s="24">
        <f>-45500+30200</f>
        <v>-15300</v>
      </c>
      <c r="J23" s="24">
        <f>-61900+38000</f>
        <v>-23900</v>
      </c>
      <c r="K23" s="24">
        <f>-19000+19000</f>
        <v>0</v>
      </c>
      <c r="L23" s="24">
        <f>-12200+16400</f>
        <v>4200</v>
      </c>
      <c r="M23" s="24">
        <f>-86800+18800</f>
        <v>-68000</v>
      </c>
      <c r="N23" s="24">
        <v>43000</v>
      </c>
      <c r="O23" s="24"/>
      <c r="P23" s="24">
        <f>-73000</f>
        <v>-73000</v>
      </c>
      <c r="Q23" s="24">
        <f>-2000+2000</f>
        <v>0</v>
      </c>
      <c r="R23" s="24">
        <v>74600</v>
      </c>
      <c r="S23" s="24">
        <f>-13500+18100</f>
        <v>4600</v>
      </c>
      <c r="T23" s="24">
        <f>-20000</f>
        <v>-20000</v>
      </c>
      <c r="U23" s="24">
        <f>-23600+89800</f>
        <v>66200</v>
      </c>
      <c r="V23" s="24">
        <v>17000</v>
      </c>
      <c r="W23" s="24">
        <f>-142600+25000</f>
        <v>-117600</v>
      </c>
      <c r="X23" s="24">
        <f>-6400+6400</f>
        <v>0</v>
      </c>
      <c r="Y23" s="24">
        <v>-3900</v>
      </c>
      <c r="Z23" s="24">
        <f>-12800+40900</f>
        <v>28100</v>
      </c>
      <c r="AA23" s="24">
        <f>120000</f>
        <v>120000</v>
      </c>
      <c r="AB23" s="24">
        <v>-5600</v>
      </c>
      <c r="AC23" s="24">
        <f>-18800+5600</f>
        <v>-13200</v>
      </c>
      <c r="AD23" s="24">
        <v>1700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6506763.0800000001</v>
      </c>
      <c r="C24" s="19">
        <f>SUM(C15:C23)</f>
        <v>116210</v>
      </c>
      <c r="D24" s="19">
        <f t="shared" ref="D24:U24" si="10">SUM(D15:D23)</f>
        <v>249763</v>
      </c>
      <c r="E24" s="19">
        <f t="shared" si="10"/>
        <v>191949.28</v>
      </c>
      <c r="F24" s="19">
        <f t="shared" si="10"/>
        <v>156697.79999999999</v>
      </c>
      <c r="G24" s="19">
        <f t="shared" si="10"/>
        <v>196918</v>
      </c>
      <c r="H24" s="19">
        <f t="shared" si="10"/>
        <v>176087</v>
      </c>
      <c r="I24" s="19">
        <f t="shared" si="10"/>
        <v>201708</v>
      </c>
      <c r="J24" s="19">
        <f t="shared" si="10"/>
        <v>84405.7</v>
      </c>
      <c r="K24" s="19">
        <f t="shared" si="10"/>
        <v>239877.93</v>
      </c>
      <c r="L24" s="19">
        <f t="shared" si="10"/>
        <v>268951.83999999997</v>
      </c>
      <c r="M24" s="19">
        <f t="shared" si="10"/>
        <v>141582.24</v>
      </c>
      <c r="N24" s="19">
        <f t="shared" si="10"/>
        <v>321960.86</v>
      </c>
      <c r="O24" s="19">
        <f t="shared" si="10"/>
        <v>196005.06</v>
      </c>
      <c r="P24" s="19">
        <f t="shared" si="10"/>
        <v>121579.53</v>
      </c>
      <c r="Q24" s="19">
        <f t="shared" si="10"/>
        <v>198923</v>
      </c>
      <c r="R24" s="19">
        <f t="shared" si="10"/>
        <v>357950.21</v>
      </c>
      <c r="S24" s="19">
        <f t="shared" si="10"/>
        <v>464260.57</v>
      </c>
      <c r="T24" s="19">
        <f t="shared" si="10"/>
        <v>95456.6</v>
      </c>
      <c r="U24" s="19">
        <f t="shared" si="10"/>
        <v>336253.24</v>
      </c>
      <c r="V24" s="19">
        <f>SUM(V15:V23)</f>
        <v>264391.12</v>
      </c>
      <c r="W24" s="19">
        <f t="shared" ref="W24:AD24" si="11">SUM(W15:W23)</f>
        <v>222787.20000000001</v>
      </c>
      <c r="X24" s="19">
        <f t="shared" si="11"/>
        <v>217517.26</v>
      </c>
      <c r="Y24" s="19">
        <f t="shared" si="11"/>
        <v>198376.8</v>
      </c>
      <c r="Z24" s="19">
        <f t="shared" si="11"/>
        <v>278662.51</v>
      </c>
      <c r="AA24" s="19">
        <f t="shared" si="11"/>
        <v>263002.21000000002</v>
      </c>
      <c r="AB24" s="19">
        <f t="shared" si="11"/>
        <v>140529.60000000001</v>
      </c>
      <c r="AC24" s="19">
        <f t="shared" si="11"/>
        <v>433969</v>
      </c>
      <c r="AD24" s="19">
        <f t="shared" si="11"/>
        <v>370987.52000000002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-178883.62000000197</v>
      </c>
      <c r="C25" s="20">
        <f>C10+C14-C24</f>
        <v>907257.3600000001</v>
      </c>
      <c r="D25" s="20">
        <f t="shared" ref="D25:AD25" si="12">D10+D14-D24</f>
        <v>857886.76</v>
      </c>
      <c r="E25" s="20">
        <f t="shared" si="12"/>
        <v>857792.26</v>
      </c>
      <c r="F25" s="20">
        <f t="shared" si="12"/>
        <v>896590.46</v>
      </c>
      <c r="G25" s="20">
        <f t="shared" si="12"/>
        <v>890184.54</v>
      </c>
      <c r="H25" s="20">
        <f t="shared" si="12"/>
        <v>908708.62000000011</v>
      </c>
      <c r="I25" s="20">
        <f t="shared" si="12"/>
        <v>891658.8</v>
      </c>
      <c r="J25" s="20">
        <f t="shared" si="12"/>
        <v>1055972.7000000002</v>
      </c>
      <c r="K25" s="20">
        <f t="shared" si="12"/>
        <v>1048695.7300000002</v>
      </c>
      <c r="L25" s="20">
        <f t="shared" si="12"/>
        <v>1018578.7400000003</v>
      </c>
      <c r="M25" s="20">
        <f t="shared" si="12"/>
        <v>1127816.7600000005</v>
      </c>
      <c r="N25" s="20">
        <f t="shared" si="12"/>
        <v>1062985.7100000004</v>
      </c>
      <c r="O25" s="20">
        <f t="shared" si="12"/>
        <v>1091702.6200000003</v>
      </c>
      <c r="P25" s="20">
        <f t="shared" si="12"/>
        <v>1235717.7700000003</v>
      </c>
      <c r="Q25" s="20">
        <f t="shared" si="12"/>
        <v>1302312.9900000002</v>
      </c>
      <c r="R25" s="20">
        <f t="shared" si="12"/>
        <v>1195855.7400000002</v>
      </c>
      <c r="S25" s="20">
        <f t="shared" si="12"/>
        <v>961075.91000000015</v>
      </c>
      <c r="T25" s="20">
        <f t="shared" si="12"/>
        <v>1089918.1400000001</v>
      </c>
      <c r="U25" s="20">
        <f t="shared" si="12"/>
        <v>982023.56</v>
      </c>
      <c r="V25" s="20">
        <f t="shared" si="12"/>
        <v>944887.1</v>
      </c>
      <c r="W25" s="20">
        <f t="shared" si="12"/>
        <v>964122.90999999992</v>
      </c>
      <c r="X25" s="20">
        <f t="shared" si="12"/>
        <v>1019047.8199999998</v>
      </c>
      <c r="Y25" s="20">
        <f t="shared" si="12"/>
        <v>1076428.8599999999</v>
      </c>
      <c r="Z25" s="20">
        <f t="shared" si="12"/>
        <v>1042024.2899999998</v>
      </c>
      <c r="AA25" s="20">
        <f t="shared" si="12"/>
        <v>972390.44999999972</v>
      </c>
      <c r="AB25" s="20">
        <f t="shared" si="12"/>
        <v>1013334.7199999999</v>
      </c>
      <c r="AC25" s="20">
        <f t="shared" si="12"/>
        <v>732856.24999999977</v>
      </c>
      <c r="AD25" s="20">
        <f t="shared" si="12"/>
        <v>650596.18999999971</v>
      </c>
      <c r="AE25" s="20">
        <f>AE10+AE14-AE24</f>
        <v>650596.18999999971</v>
      </c>
      <c r="AF25" s="20">
        <f>AF10+AF14-AF24</f>
        <v>650596.18999999971</v>
      </c>
      <c r="AG25" s="20">
        <f>AG10+AG14-AG24</f>
        <v>650596.18999999971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33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5880</v>
      </c>
      <c r="C3" s="27">
        <v>210</v>
      </c>
      <c r="D3" s="27">
        <v>210</v>
      </c>
      <c r="E3" s="27">
        <v>210</v>
      </c>
      <c r="F3" s="27">
        <v>210</v>
      </c>
      <c r="G3" s="27">
        <v>210</v>
      </c>
      <c r="H3" s="27">
        <v>210</v>
      </c>
      <c r="I3" s="27">
        <v>210</v>
      </c>
      <c r="J3" s="27">
        <v>210</v>
      </c>
      <c r="K3" s="27">
        <v>210</v>
      </c>
      <c r="L3" s="27">
        <v>210</v>
      </c>
      <c r="M3" s="27">
        <v>210</v>
      </c>
      <c r="N3" s="27">
        <v>210</v>
      </c>
      <c r="O3" s="27">
        <v>210</v>
      </c>
      <c r="P3" s="27">
        <v>210</v>
      </c>
      <c r="Q3" s="27">
        <v>210</v>
      </c>
      <c r="R3" s="27">
        <v>210</v>
      </c>
      <c r="S3" s="27">
        <v>210</v>
      </c>
      <c r="T3" s="27">
        <v>210</v>
      </c>
      <c r="U3" s="27">
        <v>210</v>
      </c>
      <c r="V3" s="27">
        <v>210</v>
      </c>
      <c r="W3" s="27">
        <v>210</v>
      </c>
      <c r="X3" s="27">
        <v>210</v>
      </c>
      <c r="Y3" s="27">
        <v>210</v>
      </c>
      <c r="Z3" s="27">
        <v>210</v>
      </c>
      <c r="AA3" s="27">
        <v>210</v>
      </c>
      <c r="AB3" s="27">
        <v>210</v>
      </c>
      <c r="AC3" s="27">
        <v>210</v>
      </c>
      <c r="AD3" s="27">
        <v>210</v>
      </c>
      <c r="AE3" s="27"/>
      <c r="AF3" s="27"/>
      <c r="AG3" s="27"/>
    </row>
    <row r="4" spans="1:33">
      <c r="A4" s="31" t="s">
        <v>1</v>
      </c>
      <c r="B4" s="14">
        <f>SUM(C4:AG4)</f>
        <v>13</v>
      </c>
      <c r="C4" s="14"/>
      <c r="D4" s="14"/>
      <c r="E4" s="14">
        <v>1</v>
      </c>
      <c r="F4" s="14">
        <v>2</v>
      </c>
      <c r="G4" s="14"/>
      <c r="H4" s="14">
        <v>3</v>
      </c>
      <c r="I4" s="14"/>
      <c r="J4" s="14"/>
      <c r="K4" s="32">
        <v>2</v>
      </c>
      <c r="L4" s="32"/>
      <c r="M4" s="32"/>
      <c r="N4" s="32"/>
      <c r="O4" s="32"/>
      <c r="P4" s="32"/>
      <c r="Q4" s="32">
        <v>1</v>
      </c>
      <c r="R4" s="32">
        <v>1</v>
      </c>
      <c r="S4" s="32"/>
      <c r="T4" s="32"/>
      <c r="U4" s="32"/>
      <c r="V4" s="32"/>
      <c r="W4" s="32"/>
      <c r="X4" s="32"/>
      <c r="Y4" s="28"/>
      <c r="Z4" s="28"/>
      <c r="AA4" s="28">
        <v>1</v>
      </c>
      <c r="AB4" s="28">
        <v>0</v>
      </c>
      <c r="AC4" s="28">
        <v>1</v>
      </c>
      <c r="AD4" s="28">
        <v>1</v>
      </c>
      <c r="AE4" s="32"/>
      <c r="AF4" s="32"/>
      <c r="AG4" s="32"/>
    </row>
    <row r="5" spans="1:33">
      <c r="A5" s="4" t="s">
        <v>2</v>
      </c>
      <c r="B5" s="5">
        <f>+B3-B4</f>
        <v>5867</v>
      </c>
      <c r="C5" s="5">
        <f t="shared" ref="C5:AG5" si="1">+C3-C4</f>
        <v>210</v>
      </c>
      <c r="D5" s="5">
        <f t="shared" si="1"/>
        <v>210</v>
      </c>
      <c r="E5" s="5">
        <f t="shared" si="1"/>
        <v>209</v>
      </c>
      <c r="F5" s="5">
        <f t="shared" si="1"/>
        <v>208</v>
      </c>
      <c r="G5" s="5">
        <f t="shared" si="1"/>
        <v>210</v>
      </c>
      <c r="H5" s="5">
        <f t="shared" si="1"/>
        <v>207</v>
      </c>
      <c r="I5" s="5">
        <f t="shared" si="1"/>
        <v>210</v>
      </c>
      <c r="J5" s="5">
        <f t="shared" si="1"/>
        <v>210</v>
      </c>
      <c r="K5" s="5">
        <f t="shared" si="1"/>
        <v>208</v>
      </c>
      <c r="L5" s="5">
        <f t="shared" si="1"/>
        <v>210</v>
      </c>
      <c r="M5" s="5">
        <f t="shared" si="1"/>
        <v>210</v>
      </c>
      <c r="N5" s="5">
        <f t="shared" si="1"/>
        <v>210</v>
      </c>
      <c r="O5" s="5">
        <f t="shared" si="1"/>
        <v>210</v>
      </c>
      <c r="P5" s="5">
        <f t="shared" si="1"/>
        <v>210</v>
      </c>
      <c r="Q5" s="5">
        <f t="shared" si="1"/>
        <v>209</v>
      </c>
      <c r="R5" s="5">
        <f t="shared" si="1"/>
        <v>209</v>
      </c>
      <c r="S5" s="5">
        <f t="shared" si="1"/>
        <v>210</v>
      </c>
      <c r="T5" s="5">
        <f t="shared" si="1"/>
        <v>210</v>
      </c>
      <c r="U5" s="5">
        <f t="shared" si="1"/>
        <v>210</v>
      </c>
      <c r="V5" s="5">
        <f t="shared" si="1"/>
        <v>210</v>
      </c>
      <c r="W5" s="5">
        <f t="shared" si="1"/>
        <v>210</v>
      </c>
      <c r="X5" s="5">
        <f t="shared" si="1"/>
        <v>210</v>
      </c>
      <c r="Y5" s="5">
        <f t="shared" si="1"/>
        <v>210</v>
      </c>
      <c r="Z5" s="5">
        <f t="shared" si="1"/>
        <v>210</v>
      </c>
      <c r="AA5" s="5">
        <f t="shared" si="1"/>
        <v>209</v>
      </c>
      <c r="AB5" s="5">
        <f t="shared" si="1"/>
        <v>210</v>
      </c>
      <c r="AC5" s="5">
        <f t="shared" si="1"/>
        <v>209</v>
      </c>
      <c r="AD5" s="5">
        <f t="shared" si="1"/>
        <v>209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4896</v>
      </c>
      <c r="C6" s="34">
        <v>144</v>
      </c>
      <c r="D6" s="34">
        <v>183</v>
      </c>
      <c r="E6" s="34">
        <v>134</v>
      </c>
      <c r="F6" s="34">
        <v>132</v>
      </c>
      <c r="G6" s="34">
        <v>139</v>
      </c>
      <c r="H6" s="34">
        <v>141</v>
      </c>
      <c r="I6" s="34">
        <v>174</v>
      </c>
      <c r="J6" s="34">
        <v>200</v>
      </c>
      <c r="K6" s="34">
        <v>181</v>
      </c>
      <c r="L6" s="34">
        <v>186</v>
      </c>
      <c r="M6" s="34">
        <v>184</v>
      </c>
      <c r="N6" s="34">
        <v>194</v>
      </c>
      <c r="O6" s="34">
        <v>198</v>
      </c>
      <c r="P6" s="34">
        <v>193</v>
      </c>
      <c r="Q6" s="34">
        <v>194</v>
      </c>
      <c r="R6" s="34">
        <v>203</v>
      </c>
      <c r="S6" s="34">
        <v>184</v>
      </c>
      <c r="T6" s="34">
        <v>198</v>
      </c>
      <c r="U6" s="34">
        <v>168</v>
      </c>
      <c r="V6" s="34">
        <v>191</v>
      </c>
      <c r="W6" s="34">
        <v>170</v>
      </c>
      <c r="X6" s="34">
        <v>193</v>
      </c>
      <c r="Y6" s="25">
        <v>207</v>
      </c>
      <c r="Z6" s="25">
        <v>189</v>
      </c>
      <c r="AA6" s="25">
        <v>145</v>
      </c>
      <c r="AB6" s="25">
        <v>146</v>
      </c>
      <c r="AC6" s="25">
        <v>144</v>
      </c>
      <c r="AD6" s="25">
        <v>181</v>
      </c>
      <c r="AE6" s="34"/>
      <c r="AF6" s="34"/>
      <c r="AG6" s="34"/>
    </row>
    <row r="7" spans="1:33">
      <c r="A7" s="4" t="s">
        <v>4</v>
      </c>
      <c r="B7" s="7">
        <f>IF(B6=0,0,B6/B5)</f>
        <v>0.83449803988409754</v>
      </c>
      <c r="C7" s="7">
        <f t="shared" ref="C7:AG7" si="2">IF(C6=0,0,C6/C5)</f>
        <v>0.68571428571428572</v>
      </c>
      <c r="D7" s="7">
        <f t="shared" si="2"/>
        <v>0.87142857142857144</v>
      </c>
      <c r="E7" s="7">
        <f t="shared" si="2"/>
        <v>0.64114832535885169</v>
      </c>
      <c r="F7" s="7">
        <f t="shared" si="2"/>
        <v>0.63461538461538458</v>
      </c>
      <c r="G7" s="7">
        <f t="shared" si="2"/>
        <v>0.66190476190476188</v>
      </c>
      <c r="H7" s="7">
        <f t="shared" si="2"/>
        <v>0.6811594202898551</v>
      </c>
      <c r="I7" s="7">
        <f t="shared" si="2"/>
        <v>0.82857142857142863</v>
      </c>
      <c r="J7" s="7">
        <f t="shared" si="2"/>
        <v>0.95238095238095233</v>
      </c>
      <c r="K7" s="7">
        <f t="shared" si="2"/>
        <v>0.87019230769230771</v>
      </c>
      <c r="L7" s="7">
        <f t="shared" si="2"/>
        <v>0.88571428571428568</v>
      </c>
      <c r="M7" s="7">
        <f t="shared" si="2"/>
        <v>0.87619047619047619</v>
      </c>
      <c r="N7" s="7">
        <f t="shared" si="2"/>
        <v>0.92380952380952386</v>
      </c>
      <c r="O7" s="7">
        <f t="shared" si="2"/>
        <v>0.94285714285714284</v>
      </c>
      <c r="P7" s="7">
        <f t="shared" si="2"/>
        <v>0.919047619047619</v>
      </c>
      <c r="Q7" s="7">
        <f t="shared" si="2"/>
        <v>0.92822966507177029</v>
      </c>
      <c r="R7" s="7">
        <f t="shared" si="2"/>
        <v>0.9712918660287081</v>
      </c>
      <c r="S7" s="7">
        <f t="shared" si="2"/>
        <v>0.87619047619047619</v>
      </c>
      <c r="T7" s="7">
        <f t="shared" si="2"/>
        <v>0.94285714285714284</v>
      </c>
      <c r="U7" s="7">
        <f t="shared" si="2"/>
        <v>0.8</v>
      </c>
      <c r="V7" s="7">
        <f t="shared" si="2"/>
        <v>0.90952380952380951</v>
      </c>
      <c r="W7" s="7">
        <f t="shared" si="2"/>
        <v>0.80952380952380953</v>
      </c>
      <c r="X7" s="7">
        <f t="shared" si="2"/>
        <v>0.919047619047619</v>
      </c>
      <c r="Y7" s="7">
        <f t="shared" si="2"/>
        <v>0.98571428571428577</v>
      </c>
      <c r="Z7" s="7">
        <f t="shared" si="2"/>
        <v>0.9</v>
      </c>
      <c r="AA7" s="7">
        <f t="shared" si="2"/>
        <v>0.69377990430622005</v>
      </c>
      <c r="AB7" s="7">
        <f t="shared" si="2"/>
        <v>0.69523809523809521</v>
      </c>
      <c r="AC7" s="7">
        <f t="shared" si="2"/>
        <v>0.68899521531100483</v>
      </c>
      <c r="AD7" s="7">
        <f t="shared" si="2"/>
        <v>0.86602870813397126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1387.9167544934639</v>
      </c>
      <c r="C8" s="6">
        <f t="shared" ref="C8:AG8" si="3">IF(C6=0,0,C11/C6)</f>
        <v>1422.0365277777778</v>
      </c>
      <c r="D8" s="6">
        <f t="shared" si="3"/>
        <v>1463.6766666666667</v>
      </c>
      <c r="E8" s="6">
        <f t="shared" si="3"/>
        <v>1321.944104477612</v>
      </c>
      <c r="F8" s="6">
        <f t="shared" si="3"/>
        <v>1391.6596969696968</v>
      </c>
      <c r="G8" s="6">
        <f t="shared" si="3"/>
        <v>1618.205035971223</v>
      </c>
      <c r="H8" s="6">
        <f t="shared" si="3"/>
        <v>1475.1513475177305</v>
      </c>
      <c r="I8" s="6">
        <f t="shared" si="3"/>
        <v>1382.5535057471263</v>
      </c>
      <c r="J8" s="6">
        <f t="shared" si="3"/>
        <v>1356.6235999999999</v>
      </c>
      <c r="K8" s="6">
        <f t="shared" si="3"/>
        <v>1385.7098342541437</v>
      </c>
      <c r="L8" s="6">
        <f t="shared" si="3"/>
        <v>1391.3710215053763</v>
      </c>
      <c r="M8" s="6">
        <f t="shared" si="3"/>
        <v>1302.5148913043479</v>
      </c>
      <c r="N8" s="6">
        <f t="shared" si="3"/>
        <v>1350.4302061855669</v>
      </c>
      <c r="O8" s="6">
        <f t="shared" si="3"/>
        <v>1263.8352525252526</v>
      </c>
      <c r="P8" s="6">
        <f t="shared" si="3"/>
        <v>1286.4682383419688</v>
      </c>
      <c r="Q8" s="6">
        <f t="shared" si="3"/>
        <v>1332.9512371134022</v>
      </c>
      <c r="R8" s="6">
        <f t="shared" si="3"/>
        <v>1470.2211330049263</v>
      </c>
      <c r="S8" s="6">
        <f t="shared" si="3"/>
        <v>1314.4914130434784</v>
      </c>
      <c r="T8" s="6">
        <f t="shared" si="3"/>
        <v>1329.2549999999999</v>
      </c>
      <c r="U8" s="6">
        <f t="shared" si="3"/>
        <v>1378.422380952381</v>
      </c>
      <c r="V8" s="6">
        <f t="shared" si="3"/>
        <v>1437.3108376963351</v>
      </c>
      <c r="W8" s="6">
        <f t="shared" si="3"/>
        <v>1638.7307058823528</v>
      </c>
      <c r="X8" s="6">
        <f t="shared" si="3"/>
        <v>1354.7522279792745</v>
      </c>
      <c r="Y8" s="6">
        <f t="shared" si="3"/>
        <v>1443.3154106280192</v>
      </c>
      <c r="Z8" s="6">
        <f t="shared" si="3"/>
        <v>1422.528835978836</v>
      </c>
      <c r="AA8" s="6">
        <f t="shared" si="3"/>
        <v>1280.5771034482759</v>
      </c>
      <c r="AB8" s="6">
        <f t="shared" si="3"/>
        <v>1316.7040410958905</v>
      </c>
      <c r="AC8" s="6">
        <f t="shared" si="3"/>
        <v>1302.1212499999999</v>
      </c>
      <c r="AD8" s="6">
        <f t="shared" si="3"/>
        <v>1468.8685082872928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1155.6531343537415</v>
      </c>
      <c r="C9" s="6">
        <f t="shared" ref="C9:AG9" si="4">IF(C11=0,0,C11/C3)</f>
        <v>975.11076190476194</v>
      </c>
      <c r="D9" s="6">
        <f t="shared" si="4"/>
        <v>1275.4896666666668</v>
      </c>
      <c r="E9" s="6">
        <f t="shared" si="4"/>
        <v>843.52623809523811</v>
      </c>
      <c r="F9" s="6">
        <f t="shared" si="4"/>
        <v>874.75752380952372</v>
      </c>
      <c r="G9" s="6">
        <f t="shared" si="4"/>
        <v>1071.097619047619</v>
      </c>
      <c r="H9" s="6">
        <f t="shared" si="4"/>
        <v>990.4587619047619</v>
      </c>
      <c r="I9" s="6">
        <f t="shared" si="4"/>
        <v>1145.5443333333333</v>
      </c>
      <c r="J9" s="6">
        <f t="shared" si="4"/>
        <v>1292.022476190476</v>
      </c>
      <c r="K9" s="6">
        <f t="shared" si="4"/>
        <v>1194.3499047619048</v>
      </c>
      <c r="L9" s="6">
        <f t="shared" si="4"/>
        <v>1232.3571904761905</v>
      </c>
      <c r="M9" s="6">
        <f t="shared" si="4"/>
        <v>1141.2511428571429</v>
      </c>
      <c r="N9" s="6">
        <f t="shared" si="4"/>
        <v>1247.5402857142856</v>
      </c>
      <c r="O9" s="6">
        <f t="shared" si="4"/>
        <v>1191.6160952380953</v>
      </c>
      <c r="P9" s="6">
        <f t="shared" si="4"/>
        <v>1182.3255714285715</v>
      </c>
      <c r="Q9" s="6">
        <f t="shared" si="4"/>
        <v>1231.3930476190476</v>
      </c>
      <c r="R9" s="6">
        <f t="shared" si="4"/>
        <v>1421.2137619047619</v>
      </c>
      <c r="S9" s="6">
        <f t="shared" si="4"/>
        <v>1151.7448571428572</v>
      </c>
      <c r="T9" s="6">
        <f t="shared" si="4"/>
        <v>1253.2975714285715</v>
      </c>
      <c r="U9" s="6">
        <f t="shared" si="4"/>
        <v>1102.7379047619047</v>
      </c>
      <c r="V9" s="6">
        <f t="shared" si="4"/>
        <v>1307.2684285714286</v>
      </c>
      <c r="W9" s="6">
        <f t="shared" si="4"/>
        <v>1326.5915238095238</v>
      </c>
      <c r="X9" s="6">
        <f t="shared" si="4"/>
        <v>1245.0818095238094</v>
      </c>
      <c r="Y9" s="6">
        <f t="shared" si="4"/>
        <v>1422.6966190476189</v>
      </c>
      <c r="Z9" s="6">
        <f>IF(Z11=0,0,Z11/Z3)</f>
        <v>1280.2759523809525</v>
      </c>
      <c r="AA9" s="6">
        <f>IF(AA11=0,0,AA11/AA3)</f>
        <v>884.20799999999997</v>
      </c>
      <c r="AB9" s="6">
        <f>IF(AB11=0,0,AB11/AB3)</f>
        <v>915.42280952380952</v>
      </c>
      <c r="AC9" s="6">
        <f>IF(AC11=0,0,AC11/AC3)</f>
        <v>892.88314285714284</v>
      </c>
      <c r="AD9" s="6">
        <f>IF(AD11=0,0,AD11/AD3)</f>
        <v>1266.024761904762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-551184.18999999994</v>
      </c>
      <c r="D10" s="29">
        <f>C25</f>
        <v>-443886.81999999995</v>
      </c>
      <c r="E10" s="29">
        <f t="shared" ref="E10:AG10" si="5">D25</f>
        <v>-278552.95999999996</v>
      </c>
      <c r="F10" s="29">
        <f t="shared" si="5"/>
        <v>-386928.64999999997</v>
      </c>
      <c r="G10" s="29">
        <f t="shared" si="5"/>
        <v>-273343.59999999998</v>
      </c>
      <c r="H10" s="29">
        <f t="shared" si="5"/>
        <v>-354049.36</v>
      </c>
      <c r="I10" s="29">
        <f t="shared" si="5"/>
        <v>-263697.69999999995</v>
      </c>
      <c r="J10" s="29">
        <f t="shared" si="5"/>
        <v>-323237.98999999993</v>
      </c>
      <c r="K10" s="29">
        <f t="shared" si="5"/>
        <v>-215324.05999999994</v>
      </c>
      <c r="L10" s="29">
        <f t="shared" si="5"/>
        <v>-200815.24</v>
      </c>
      <c r="M10" s="29">
        <f t="shared" si="5"/>
        <v>-375448.55</v>
      </c>
      <c r="N10" s="29">
        <f t="shared" si="5"/>
        <v>-315187.02</v>
      </c>
      <c r="O10" s="29">
        <f t="shared" si="5"/>
        <v>-267174.40000000002</v>
      </c>
      <c r="P10" s="29">
        <f t="shared" si="5"/>
        <v>-344792.30000000005</v>
      </c>
      <c r="Q10" s="29">
        <f t="shared" si="5"/>
        <v>-322105.93000000005</v>
      </c>
      <c r="R10" s="29">
        <f t="shared" si="5"/>
        <v>-251169.71000000002</v>
      </c>
      <c r="S10" s="29">
        <f t="shared" si="5"/>
        <v>-326222.25</v>
      </c>
      <c r="T10" s="29">
        <f t="shared" si="5"/>
        <v>-497548.41999999993</v>
      </c>
      <c r="U10" s="29">
        <f t="shared" si="5"/>
        <v>-328965.56999999995</v>
      </c>
      <c r="V10" s="29">
        <f t="shared" si="5"/>
        <v>-352094.69999999995</v>
      </c>
      <c r="W10" s="29">
        <f t="shared" si="5"/>
        <v>-400792.80999999994</v>
      </c>
      <c r="X10" s="29">
        <f t="shared" si="5"/>
        <v>-306159.52999999997</v>
      </c>
      <c r="Y10" s="35">
        <f>-343497.62</f>
        <v>-343497.62</v>
      </c>
      <c r="Z10" s="35">
        <v>-218861.35</v>
      </c>
      <c r="AA10" s="42">
        <f>Z25</f>
        <v>-402936.69000000006</v>
      </c>
      <c r="AB10" s="42">
        <v>-428781.9</v>
      </c>
      <c r="AC10" s="42">
        <v>-408149.39</v>
      </c>
      <c r="AD10" s="42">
        <v>-595873.93999999994</v>
      </c>
      <c r="AE10" s="29">
        <f t="shared" si="5"/>
        <v>-720705.72</v>
      </c>
      <c r="AF10" s="29">
        <f t="shared" si="5"/>
        <v>-720705.72</v>
      </c>
      <c r="AG10" s="29">
        <f t="shared" si="5"/>
        <v>-720705.72</v>
      </c>
    </row>
    <row r="11" spans="1:33">
      <c r="A11" s="4" t="s">
        <v>8</v>
      </c>
      <c r="B11" s="23">
        <f>SUM(C11:AG11)</f>
        <v>6795240.4299999997</v>
      </c>
      <c r="C11" s="23">
        <v>204773.26</v>
      </c>
      <c r="D11" s="23">
        <v>267852.83</v>
      </c>
      <c r="E11" s="23">
        <v>177140.51</v>
      </c>
      <c r="F11" s="23">
        <v>183699.08</v>
      </c>
      <c r="G11" s="23">
        <v>224930.5</v>
      </c>
      <c r="H11" s="23">
        <v>207996.34</v>
      </c>
      <c r="I11" s="23">
        <v>240564.31</v>
      </c>
      <c r="J11" s="23">
        <v>271324.71999999997</v>
      </c>
      <c r="K11" s="23">
        <v>250813.48</v>
      </c>
      <c r="L11" s="23">
        <v>258795.01</v>
      </c>
      <c r="M11" s="23">
        <v>239662.74</v>
      </c>
      <c r="N11" s="23">
        <v>261983.46</v>
      </c>
      <c r="O11" s="23">
        <v>250239.38</v>
      </c>
      <c r="P11" s="23">
        <v>248288.37</v>
      </c>
      <c r="Q11" s="23">
        <v>258592.54</v>
      </c>
      <c r="R11" s="23">
        <v>298454.89</v>
      </c>
      <c r="S11" s="23">
        <v>241866.42</v>
      </c>
      <c r="T11" s="23">
        <v>263192.49</v>
      </c>
      <c r="U11" s="23">
        <v>231574.96</v>
      </c>
      <c r="V11" s="23">
        <v>274526.37</v>
      </c>
      <c r="W11" s="23">
        <v>278584.21999999997</v>
      </c>
      <c r="X11" s="23">
        <v>261467.18</v>
      </c>
      <c r="Y11" s="23">
        <v>298766.28999999998</v>
      </c>
      <c r="Z11" s="23">
        <v>268857.95</v>
      </c>
      <c r="AA11" s="43">
        <v>185683.68</v>
      </c>
      <c r="AB11" s="43">
        <f>192238.79</f>
        <v>192238.79</v>
      </c>
      <c r="AC11" s="43">
        <f>188385.46-880</f>
        <v>187505.46</v>
      </c>
      <c r="AD11" s="43">
        <f>264865.2+1000</f>
        <v>265865.2</v>
      </c>
      <c r="AE11" s="23"/>
      <c r="AF11" s="23"/>
      <c r="AG11" s="23"/>
    </row>
    <row r="12" spans="1:33">
      <c r="A12" s="4" t="s">
        <v>9</v>
      </c>
      <c r="B12" s="23">
        <f>SUM(C12:AG12)</f>
        <v>999186</v>
      </c>
      <c r="C12" s="23">
        <v>27700</v>
      </c>
      <c r="D12" s="23">
        <v>36300</v>
      </c>
      <c r="E12" s="23">
        <v>26600</v>
      </c>
      <c r="F12" s="23">
        <f>26000+458</f>
        <v>26458</v>
      </c>
      <c r="G12" s="23">
        <f>28200+160</f>
        <v>28360</v>
      </c>
      <c r="H12" s="23">
        <f>28500+538</f>
        <v>29038</v>
      </c>
      <c r="I12" s="23">
        <f>34800+1619</f>
        <v>36419</v>
      </c>
      <c r="J12" s="23">
        <f>41400+571</f>
        <v>41971</v>
      </c>
      <c r="K12" s="23">
        <f>37200+1094</f>
        <v>38294</v>
      </c>
      <c r="L12" s="23">
        <f>37300+790</f>
        <v>38090</v>
      </c>
      <c r="M12" s="23">
        <f>36900+468</f>
        <v>37368</v>
      </c>
      <c r="N12" s="23">
        <f>40200+150</f>
        <v>40350</v>
      </c>
      <c r="O12" s="23">
        <f>39900+410</f>
        <v>40310</v>
      </c>
      <c r="P12" s="23">
        <v>38900</v>
      </c>
      <c r="Q12" s="23">
        <v>40200</v>
      </c>
      <c r="R12" s="23">
        <v>41300</v>
      </c>
      <c r="S12" s="23">
        <f>36700+326</f>
        <v>37026</v>
      </c>
      <c r="T12" s="23">
        <f>39900+300</f>
        <v>40200</v>
      </c>
      <c r="U12" s="23">
        <f>34200+969</f>
        <v>35169</v>
      </c>
      <c r="V12" s="23">
        <v>38900</v>
      </c>
      <c r="W12" s="23">
        <v>34300</v>
      </c>
      <c r="X12" s="23">
        <f>39500+258</f>
        <v>39758</v>
      </c>
      <c r="Y12" s="23">
        <f>1170+42900+1091</f>
        <v>45161</v>
      </c>
      <c r="Z12" s="23">
        <v>37300</v>
      </c>
      <c r="AA12" s="43">
        <f>29500+1027</f>
        <v>30527</v>
      </c>
      <c r="AB12" s="43">
        <f>28600+287</f>
        <v>28887</v>
      </c>
      <c r="AC12" s="43">
        <v>27700</v>
      </c>
      <c r="AD12" s="43">
        <f>36600</f>
        <v>36600</v>
      </c>
      <c r="AE12" s="23"/>
      <c r="AF12" s="23"/>
      <c r="AG12" s="23"/>
    </row>
    <row r="13" spans="1:33">
      <c r="A13" s="8" t="s">
        <v>10</v>
      </c>
      <c r="B13" s="23">
        <f>SUM(C13:AG13)</f>
        <v>210328.24</v>
      </c>
      <c r="C13" s="24">
        <f>234272.26-C12-C11</f>
        <v>1799</v>
      </c>
      <c r="D13" s="24">
        <f>308114.83-D12-D11</f>
        <v>3962</v>
      </c>
      <c r="E13" s="24">
        <f>206983.51-E12-E11</f>
        <v>3243</v>
      </c>
      <c r="F13" s="24">
        <f>213925.08-F12-F11</f>
        <v>3768</v>
      </c>
      <c r="G13" s="24">
        <f>256290.5-G12-G11</f>
        <v>3000</v>
      </c>
      <c r="H13" s="24">
        <f>240275.38-H12-H11</f>
        <v>3241.0400000000081</v>
      </c>
      <c r="I13" s="24">
        <f>280667.31-I12-I11</f>
        <v>3684</v>
      </c>
      <c r="J13" s="24">
        <f>318331.72-J12-J11</f>
        <v>5036</v>
      </c>
      <c r="K13" s="23">
        <f>302143.48-K12-K11</f>
        <v>13035.999999999971</v>
      </c>
      <c r="L13" s="23">
        <f>303471.01-L12-L11</f>
        <v>6586</v>
      </c>
      <c r="M13" s="23">
        <f>291855.74-M12-M11</f>
        <v>14825</v>
      </c>
      <c r="N13" s="23">
        <f>307385.46-N12-N11</f>
        <v>5052.0000000000291</v>
      </c>
      <c r="O13" s="23">
        <f>291669.38-O12-O11</f>
        <v>1120</v>
      </c>
      <c r="P13" s="23">
        <f>290726.37-P12-P11</f>
        <v>3538</v>
      </c>
      <c r="Q13" s="23">
        <f>303362.54-Q12-Q11</f>
        <v>4569.9999999999709</v>
      </c>
      <c r="R13" s="23">
        <f>386938.89-R12-R11</f>
        <v>47184</v>
      </c>
      <c r="S13" s="23">
        <f>284572.56-S12-S11</f>
        <v>5680.1399999999849</v>
      </c>
      <c r="T13" s="23">
        <f>309249.49-T12-T11</f>
        <v>5857</v>
      </c>
      <c r="U13" s="23">
        <f>268944.02-U12-U11</f>
        <v>2200.0600000000268</v>
      </c>
      <c r="V13" s="23">
        <f>315626.37-V12-V11</f>
        <v>2200</v>
      </c>
      <c r="W13" s="23">
        <f>316553.22-W12-W11</f>
        <v>3669</v>
      </c>
      <c r="X13" s="23">
        <f>344715.18-X12-X11</f>
        <v>43490</v>
      </c>
      <c r="Y13" s="23">
        <f>5468+200+196</f>
        <v>5864</v>
      </c>
      <c r="Z13" s="23">
        <f>5368+500+500</f>
        <v>6368</v>
      </c>
      <c r="AA13" s="43">
        <f>219494.68-AA12-AA11</f>
        <v>3284</v>
      </c>
      <c r="AB13" s="43">
        <f>1200+2000+200+100</f>
        <v>3500</v>
      </c>
      <c r="AC13" s="43">
        <f>600+122+250</f>
        <v>972</v>
      </c>
      <c r="AD13" s="43">
        <f>1600+1500+500</f>
        <v>3600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8004754.6699999999</v>
      </c>
      <c r="C14" s="18">
        <f>SUM(C11:C13)</f>
        <v>234272.26</v>
      </c>
      <c r="D14" s="18">
        <f t="shared" ref="D14:J14" si="6">SUM(D11:D13)</f>
        <v>308114.83</v>
      </c>
      <c r="E14" s="18">
        <f t="shared" si="6"/>
        <v>206983.51</v>
      </c>
      <c r="F14" s="18">
        <f t="shared" si="6"/>
        <v>213925.08</v>
      </c>
      <c r="G14" s="18">
        <f t="shared" si="6"/>
        <v>256290.5</v>
      </c>
      <c r="H14" s="18">
        <f t="shared" si="6"/>
        <v>240275.38</v>
      </c>
      <c r="I14" s="18">
        <f t="shared" si="6"/>
        <v>280667.31</v>
      </c>
      <c r="J14" s="18">
        <f t="shared" si="6"/>
        <v>318331.71999999997</v>
      </c>
      <c r="K14" s="18">
        <f t="shared" ref="K14:V14" si="7">SUM(K11:K13)</f>
        <v>302143.48</v>
      </c>
      <c r="L14" s="18">
        <f t="shared" si="7"/>
        <v>303471.01</v>
      </c>
      <c r="M14" s="18">
        <f t="shared" si="7"/>
        <v>291855.74</v>
      </c>
      <c r="N14" s="18">
        <f t="shared" si="7"/>
        <v>307385.45999999996</v>
      </c>
      <c r="O14" s="18">
        <f t="shared" si="7"/>
        <v>291669.38</v>
      </c>
      <c r="P14" s="18">
        <f t="shared" si="7"/>
        <v>290726.37</v>
      </c>
      <c r="Q14" s="18">
        <f t="shared" si="7"/>
        <v>303362.54000000004</v>
      </c>
      <c r="R14" s="18">
        <f t="shared" si="7"/>
        <v>386938.89</v>
      </c>
      <c r="S14" s="18">
        <f t="shared" si="7"/>
        <v>284572.56000000006</v>
      </c>
      <c r="T14" s="18">
        <f t="shared" si="7"/>
        <v>309249.49</v>
      </c>
      <c r="U14" s="18">
        <f t="shared" si="7"/>
        <v>268944.02</v>
      </c>
      <c r="V14" s="18">
        <f t="shared" si="7"/>
        <v>315626.37</v>
      </c>
      <c r="W14" s="18">
        <f t="shared" ref="W14:AD14" si="8">SUM(W11:W13)</f>
        <v>316553.21999999997</v>
      </c>
      <c r="X14" s="18">
        <f t="shared" si="8"/>
        <v>344715.18</v>
      </c>
      <c r="Y14" s="18">
        <f t="shared" si="8"/>
        <v>349791.29</v>
      </c>
      <c r="Z14" s="18">
        <f t="shared" si="8"/>
        <v>312525.95</v>
      </c>
      <c r="AA14" s="44">
        <f t="shared" si="8"/>
        <v>219494.68</v>
      </c>
      <c r="AB14" s="44">
        <f t="shared" si="8"/>
        <v>224625.79</v>
      </c>
      <c r="AC14" s="44">
        <f t="shared" si="8"/>
        <v>216177.46</v>
      </c>
      <c r="AD14" s="44">
        <f t="shared" si="8"/>
        <v>306065.2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9">SUM(C15:AG15)</f>
        <v>1392611.73</v>
      </c>
      <c r="C15" s="23">
        <f>34892+470+5000-9300</f>
        <v>31062</v>
      </c>
      <c r="D15" s="23">
        <f>55670+4000-4200</f>
        <v>55470</v>
      </c>
      <c r="E15" s="23">
        <f>45292+7000-13698</f>
        <v>38594</v>
      </c>
      <c r="F15" s="23">
        <f>10940+308+4000-2908</f>
        <v>12340</v>
      </c>
      <c r="G15" s="23">
        <f>39200+310+5000-4724</f>
        <v>39786</v>
      </c>
      <c r="H15" s="23">
        <f>82931+4000-7800+538</f>
        <v>79669</v>
      </c>
      <c r="I15" s="23">
        <f>46395.36+592+15000-11000</f>
        <v>50987.360000000001</v>
      </c>
      <c r="J15" s="23">
        <f>60077.37+571+8500-14944</f>
        <v>54204.369999999995</v>
      </c>
      <c r="K15" s="23">
        <f>33142+4000-4000</f>
        <v>33142</v>
      </c>
      <c r="L15" s="23">
        <f>69977+605+2000-9256</f>
        <v>63326</v>
      </c>
      <c r="M15" s="23">
        <f>22912+1500-7250+468</f>
        <v>17630</v>
      </c>
      <c r="N15" s="23">
        <f>23625+150+2000-1500</f>
        <v>24275</v>
      </c>
      <c r="O15" s="23">
        <f>41780+410+4000-6000</f>
        <v>40190</v>
      </c>
      <c r="P15" s="23">
        <f>58640+2000-1000</f>
        <v>59640</v>
      </c>
      <c r="Q15" s="23">
        <f>10598+17100-22100</f>
        <v>5598</v>
      </c>
      <c r="R15" s="23">
        <f>63500+8000-6000</f>
        <v>65500</v>
      </c>
      <c r="S15" s="23">
        <f>87300+326+12000-4000</f>
        <v>95626</v>
      </c>
      <c r="T15" s="23">
        <f>30390+300+3000</f>
        <v>33690</v>
      </c>
      <c r="U15" s="23">
        <f>40483+969+4000-6000</f>
        <v>39452</v>
      </c>
      <c r="V15" s="23">
        <f>50200+18000-2000</f>
        <v>66200</v>
      </c>
      <c r="W15" s="23">
        <f>11200+4600-8000</f>
        <v>7800</v>
      </c>
      <c r="X15" s="23">
        <f>47090+258+6000-17600</f>
        <v>35748</v>
      </c>
      <c r="Y15" s="23">
        <f>93270+351+1000-8804</f>
        <v>85817</v>
      </c>
      <c r="Z15" s="23">
        <f>132500+740+8000-4508</f>
        <v>136732</v>
      </c>
      <c r="AA15" s="43">
        <f>85600+1027+7000-2000</f>
        <v>91627</v>
      </c>
      <c r="AB15" s="43">
        <f>46500+287+1000-58400</f>
        <v>-10613</v>
      </c>
      <c r="AC15" s="43">
        <f>77050+15000-9531</f>
        <v>82519</v>
      </c>
      <c r="AD15" s="43">
        <f>50600+11000-5000</f>
        <v>56600</v>
      </c>
      <c r="AE15" s="23"/>
      <c r="AF15" s="23"/>
      <c r="AG15" s="23"/>
    </row>
    <row r="16" spans="1:33">
      <c r="A16" s="16" t="s">
        <v>16</v>
      </c>
      <c r="B16" s="23">
        <f t="shared" si="9"/>
        <v>2015512.33</v>
      </c>
      <c r="C16" s="23">
        <f>6100+52632.89</f>
        <v>58732.89</v>
      </c>
      <c r="D16" s="23">
        <f>2400+10810.97</f>
        <v>13210.97</v>
      </c>
      <c r="E16" s="23">
        <f>40700.2+46358.36</f>
        <v>87058.559999999998</v>
      </c>
      <c r="F16" s="23">
        <f>9600+1826.7</f>
        <v>11426.7</v>
      </c>
      <c r="G16" s="23">
        <f>38700+52748.6</f>
        <v>91448.6</v>
      </c>
      <c r="H16" s="23">
        <f>24200+9554.72</f>
        <v>33754.720000000001</v>
      </c>
      <c r="I16" s="23">
        <f>29300+9386.24</f>
        <v>38686.239999999998</v>
      </c>
      <c r="J16" s="23">
        <f>8900+93383.42</f>
        <v>102283.42</v>
      </c>
      <c r="K16" s="23">
        <f>36000+90292.66</f>
        <v>126292.66</v>
      </c>
      <c r="L16" s="23">
        <f>100000+17328.32</f>
        <v>117328.32000000001</v>
      </c>
      <c r="M16" s="23">
        <f>6000+19164.53</f>
        <v>25164.53</v>
      </c>
      <c r="N16" s="23">
        <f>29700+40757.52</f>
        <v>70457.51999999999</v>
      </c>
      <c r="O16" s="23">
        <f>4800+47897.28</f>
        <v>52697.279999999999</v>
      </c>
      <c r="P16" s="23">
        <v>16400</v>
      </c>
      <c r="Q16" s="23">
        <f>19400+46588.32</f>
        <v>65988.320000000007</v>
      </c>
      <c r="R16" s="23">
        <f>19100+36553.43</f>
        <v>55653.43</v>
      </c>
      <c r="S16" s="23">
        <f>25100+93172.73</f>
        <v>118272.73</v>
      </c>
      <c r="T16" s="23">
        <f>22800.4+5016.24</f>
        <v>27816.639999999999</v>
      </c>
      <c r="U16" s="23">
        <v>23874.51</v>
      </c>
      <c r="V16" s="23">
        <f>13200+36824.48</f>
        <v>50024.480000000003</v>
      </c>
      <c r="W16" s="23">
        <f>48700+2400</f>
        <v>51100</v>
      </c>
      <c r="X16" s="23">
        <f>56700+29805.27</f>
        <v>86505.27</v>
      </c>
      <c r="Y16" s="23">
        <f>9500.02+41544.68</f>
        <v>51044.7</v>
      </c>
      <c r="Z16" s="23">
        <f>38200.02+73672.61</f>
        <v>111872.63</v>
      </c>
      <c r="AA16" s="43">
        <f>25100+61126.25</f>
        <v>86226.25</v>
      </c>
      <c r="AB16" s="43">
        <f>27400+65006.28</f>
        <v>92406.28</v>
      </c>
      <c r="AC16" s="43">
        <f>68800+22687.7</f>
        <v>91487.7</v>
      </c>
      <c r="AD16" s="43">
        <f>112699.6+145597.38</f>
        <v>258296.98</v>
      </c>
      <c r="AE16" s="23"/>
      <c r="AF16" s="23"/>
      <c r="AG16" s="23"/>
    </row>
    <row r="17" spans="1:33">
      <c r="A17" s="16" t="s">
        <v>17</v>
      </c>
      <c r="B17" s="23">
        <f t="shared" si="9"/>
        <v>1335655</v>
      </c>
      <c r="C17" s="23">
        <v>7110</v>
      </c>
      <c r="D17" s="23">
        <f>15385</f>
        <v>15385</v>
      </c>
      <c r="E17" s="23"/>
      <c r="F17" s="23">
        <v>135200</v>
      </c>
      <c r="G17" s="23">
        <v>48800</v>
      </c>
      <c r="H17" s="23"/>
      <c r="I17" s="23">
        <v>136600</v>
      </c>
      <c r="J17" s="23">
        <v>55400</v>
      </c>
      <c r="K17" s="23">
        <v>18000</v>
      </c>
      <c r="L17" s="23">
        <v>20800</v>
      </c>
      <c r="M17" s="23"/>
      <c r="N17" s="23">
        <v>15300</v>
      </c>
      <c r="O17" s="23">
        <v>37400</v>
      </c>
      <c r="P17" s="23">
        <v>65500</v>
      </c>
      <c r="Q17" s="23">
        <v>2400</v>
      </c>
      <c r="R17" s="23">
        <v>116700</v>
      </c>
      <c r="S17" s="23">
        <v>23000</v>
      </c>
      <c r="T17" s="23">
        <v>3960</v>
      </c>
      <c r="U17" s="23">
        <v>60000</v>
      </c>
      <c r="V17" s="23">
        <v>151600</v>
      </c>
      <c r="W17" s="23">
        <v>4900</v>
      </c>
      <c r="X17" s="23">
        <v>43600</v>
      </c>
      <c r="Y17" s="23">
        <v>247400</v>
      </c>
      <c r="Z17" s="23"/>
      <c r="AA17" s="43">
        <v>25200</v>
      </c>
      <c r="AB17" s="43">
        <v>42400</v>
      </c>
      <c r="AC17" s="43">
        <v>31200</v>
      </c>
      <c r="AD17" s="43">
        <v>27800</v>
      </c>
      <c r="AE17" s="23"/>
      <c r="AF17" s="23"/>
      <c r="AG17" s="23"/>
    </row>
    <row r="18" spans="1:33">
      <c r="A18" s="16" t="s">
        <v>18</v>
      </c>
      <c r="B18" s="23">
        <f t="shared" si="9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43"/>
      <c r="AB18" s="43"/>
      <c r="AC18" s="43"/>
      <c r="AD18" s="43"/>
      <c r="AE18" s="23"/>
      <c r="AF18" s="23"/>
      <c r="AG18" s="23"/>
    </row>
    <row r="19" spans="1:33">
      <c r="A19" s="16" t="s">
        <v>19</v>
      </c>
      <c r="B19" s="23">
        <f t="shared" si="9"/>
        <v>52000</v>
      </c>
      <c r="C19" s="23">
        <v>2200</v>
      </c>
      <c r="D19" s="23"/>
      <c r="E19" s="23"/>
      <c r="F19" s="23"/>
      <c r="G19" s="23"/>
      <c r="H19" s="23">
        <v>10800</v>
      </c>
      <c r="I19" s="23">
        <v>8500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>
        <v>28300</v>
      </c>
      <c r="W19" s="23">
        <v>2200</v>
      </c>
      <c r="X19" s="23"/>
      <c r="Y19" s="23"/>
      <c r="Z19" s="23"/>
      <c r="AA19" s="43"/>
      <c r="AB19" s="43"/>
      <c r="AC19" s="43"/>
      <c r="AD19" s="43"/>
      <c r="AE19" s="23"/>
      <c r="AF19" s="23"/>
      <c r="AG19" s="23"/>
    </row>
    <row r="20" spans="1:33">
      <c r="A20" s="16" t="s">
        <v>20</v>
      </c>
      <c r="B20" s="23">
        <f t="shared" si="9"/>
        <v>97053.139999999985</v>
      </c>
      <c r="C20" s="23"/>
      <c r="D20" s="23"/>
      <c r="E20" s="23">
        <v>14286.64</v>
      </c>
      <c r="F20" s="23">
        <v>1573.33</v>
      </c>
      <c r="G20" s="23">
        <v>3146.66</v>
      </c>
      <c r="H20" s="23">
        <v>8800</v>
      </c>
      <c r="I20" s="23">
        <v>-8800</v>
      </c>
      <c r="J20" s="23"/>
      <c r="K20" s="23"/>
      <c r="L20" s="23">
        <v>4300</v>
      </c>
      <c r="M20" s="23"/>
      <c r="N20" s="23"/>
      <c r="O20" s="23"/>
      <c r="P20" s="23"/>
      <c r="Q20" s="23"/>
      <c r="R20" s="23"/>
      <c r="S20" s="23"/>
      <c r="T20" s="23"/>
      <c r="U20" s="23">
        <v>6986.64</v>
      </c>
      <c r="V20" s="23"/>
      <c r="W20" s="23">
        <v>28319.94</v>
      </c>
      <c r="X20" s="23"/>
      <c r="Y20" s="23">
        <v>6293.32</v>
      </c>
      <c r="Z20" s="23">
        <v>3146.66</v>
      </c>
      <c r="AA20" s="43">
        <v>14986.64</v>
      </c>
      <c r="AB20" s="43"/>
      <c r="AC20" s="43">
        <v>14013.31</v>
      </c>
      <c r="AD20" s="43"/>
      <c r="AE20" s="23"/>
      <c r="AF20" s="23"/>
      <c r="AG20" s="23"/>
    </row>
    <row r="21" spans="1:33">
      <c r="A21" s="16" t="s">
        <v>21</v>
      </c>
      <c r="B21" s="23">
        <f t="shared" si="9"/>
        <v>3417804</v>
      </c>
      <c r="C21" s="23">
        <v>33000</v>
      </c>
      <c r="D21" s="23">
        <v>52200</v>
      </c>
      <c r="E21" s="23">
        <v>177820</v>
      </c>
      <c r="F21" s="23">
        <v>75000</v>
      </c>
      <c r="G21" s="23">
        <v>46000</v>
      </c>
      <c r="H21" s="23">
        <v>35100</v>
      </c>
      <c r="I21" s="23">
        <v>160494</v>
      </c>
      <c r="J21" s="23">
        <v>40130</v>
      </c>
      <c r="K21" s="23">
        <v>102000</v>
      </c>
      <c r="L21" s="23">
        <v>224150</v>
      </c>
      <c r="M21" s="23">
        <v>148899.68</v>
      </c>
      <c r="N21" s="23">
        <v>164640.32000000001</v>
      </c>
      <c r="O21" s="23">
        <v>163000</v>
      </c>
      <c r="P21" s="23">
        <v>175000</v>
      </c>
      <c r="Q21" s="23">
        <v>145640</v>
      </c>
      <c r="R21" s="23">
        <v>269738</v>
      </c>
      <c r="S21" s="23">
        <v>138500</v>
      </c>
      <c r="T21" s="23">
        <v>65000</v>
      </c>
      <c r="U21" s="23">
        <v>204360</v>
      </c>
      <c r="V21" s="23">
        <v>180500</v>
      </c>
      <c r="W21" s="23">
        <v>82000</v>
      </c>
      <c r="X21" s="23">
        <v>166800</v>
      </c>
      <c r="Y21" s="23">
        <v>48000</v>
      </c>
      <c r="Z21" s="23">
        <v>190350</v>
      </c>
      <c r="AA21" s="43">
        <v>69000</v>
      </c>
      <c r="AB21" s="43">
        <v>50000</v>
      </c>
      <c r="AC21" s="43">
        <v>147482</v>
      </c>
      <c r="AD21" s="43">
        <v>63000</v>
      </c>
      <c r="AE21" s="23"/>
      <c r="AF21" s="23"/>
      <c r="AG21" s="23"/>
    </row>
    <row r="22" spans="1:33">
      <c r="A22" s="16" t="s">
        <v>22</v>
      </c>
      <c r="B22" s="23">
        <f t="shared" si="9"/>
        <v>300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43">
        <v>300</v>
      </c>
      <c r="AB22" s="43"/>
      <c r="AC22" s="43"/>
      <c r="AD22" s="43"/>
      <c r="AE22" s="23"/>
      <c r="AF22" s="23"/>
      <c r="AG22" s="23"/>
    </row>
    <row r="23" spans="1:33">
      <c r="A23" s="17" t="s">
        <v>25</v>
      </c>
      <c r="B23" s="23">
        <f t="shared" si="9"/>
        <v>-136660</v>
      </c>
      <c r="C23" s="24">
        <f>6580-11710</f>
        <v>-5130</v>
      </c>
      <c r="D23" s="24">
        <f>20730-16085+1870</f>
        <v>6515</v>
      </c>
      <c r="E23" s="24">
        <v>-2400</v>
      </c>
      <c r="F23" s="24">
        <v>-135200</v>
      </c>
      <c r="G23" s="24">
        <f>109815-2000</f>
        <v>107815</v>
      </c>
      <c r="H23" s="24">
        <f>2400-20600</f>
        <v>-18200</v>
      </c>
      <c r="I23" s="24">
        <f>85403.36-121403.36-10260</f>
        <v>-46260</v>
      </c>
      <c r="J23" s="24">
        <f>53200-94800</f>
        <v>-41600</v>
      </c>
      <c r="K23" s="24">
        <f>31000-22800</f>
        <v>8200</v>
      </c>
      <c r="L23" s="24">
        <f>54200-6000</f>
        <v>48200</v>
      </c>
      <c r="M23" s="24">
        <v>39900</v>
      </c>
      <c r="N23" s="24">
        <v>-15300</v>
      </c>
      <c r="O23" s="24">
        <f>113400-37400</f>
        <v>76000</v>
      </c>
      <c r="P23" s="24">
        <f>17000-65500</f>
        <v>-48500</v>
      </c>
      <c r="Q23" s="24">
        <f>29300-16500</f>
        <v>12800</v>
      </c>
      <c r="R23" s="24">
        <f>20200-65800</f>
        <v>-45600</v>
      </c>
      <c r="S23" s="24">
        <f>88500-8000</f>
        <v>80500</v>
      </c>
      <c r="T23" s="24">
        <f>14160-3960</f>
        <v>10200</v>
      </c>
      <c r="U23" s="24">
        <f>14800-57400</f>
        <v>-42600</v>
      </c>
      <c r="V23" s="24">
        <f>41600-153900</f>
        <v>-112300</v>
      </c>
      <c r="W23" s="24">
        <f>90100-44500</f>
        <v>45600</v>
      </c>
      <c r="X23" s="24">
        <f>-10000+59400</f>
        <v>49400</v>
      </c>
      <c r="Y23" s="39">
        <f>31000-244400</f>
        <v>-213400</v>
      </c>
      <c r="Z23" s="36">
        <v>54500</v>
      </c>
      <c r="AA23" s="39">
        <f>-69200+27200</f>
        <v>-42000</v>
      </c>
      <c r="AB23" s="39">
        <f>72000-42200</f>
        <v>29800</v>
      </c>
      <c r="AC23" s="39">
        <f>71400-34200</f>
        <v>37200</v>
      </c>
      <c r="AD23" s="39">
        <f>53000-27800</f>
        <v>25200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8174276.2000000002</v>
      </c>
      <c r="C24" s="19">
        <f>SUM(C15:C23)</f>
        <v>126974.89000000001</v>
      </c>
      <c r="D24" s="19">
        <f t="shared" ref="D24:J24" si="10">SUM(D15:D23)</f>
        <v>142780.97</v>
      </c>
      <c r="E24" s="19">
        <f t="shared" si="10"/>
        <v>315359.2</v>
      </c>
      <c r="F24" s="19">
        <f t="shared" si="10"/>
        <v>100340.03</v>
      </c>
      <c r="G24" s="19">
        <f t="shared" si="10"/>
        <v>336996.26</v>
      </c>
      <c r="H24" s="19">
        <f t="shared" si="10"/>
        <v>149923.72</v>
      </c>
      <c r="I24" s="19">
        <f t="shared" si="10"/>
        <v>340207.6</v>
      </c>
      <c r="J24" s="19">
        <f t="shared" si="10"/>
        <v>210417.78999999998</v>
      </c>
      <c r="K24" s="19">
        <f t="shared" ref="K24:V24" si="11">SUM(K15:K23)</f>
        <v>287634.66000000003</v>
      </c>
      <c r="L24" s="19">
        <f t="shared" si="11"/>
        <v>478104.32000000001</v>
      </c>
      <c r="M24" s="19">
        <f t="shared" si="11"/>
        <v>231594.21</v>
      </c>
      <c r="N24" s="19">
        <f t="shared" si="11"/>
        <v>259372.83999999997</v>
      </c>
      <c r="O24" s="19">
        <f t="shared" si="11"/>
        <v>369287.28</v>
      </c>
      <c r="P24" s="19">
        <f t="shared" si="11"/>
        <v>268040</v>
      </c>
      <c r="Q24" s="19">
        <f t="shared" si="11"/>
        <v>232426.32</v>
      </c>
      <c r="R24" s="19">
        <f t="shared" si="11"/>
        <v>461991.43</v>
      </c>
      <c r="S24" s="19">
        <f t="shared" si="11"/>
        <v>455898.73</v>
      </c>
      <c r="T24" s="19">
        <f t="shared" si="11"/>
        <v>140666.64000000001</v>
      </c>
      <c r="U24" s="19">
        <f t="shared" si="11"/>
        <v>292073.15000000002</v>
      </c>
      <c r="V24" s="19">
        <f t="shared" si="11"/>
        <v>364324.48</v>
      </c>
      <c r="W24" s="19">
        <f t="shared" ref="W24:AD24" si="12">SUM(W15:W23)</f>
        <v>221919.94</v>
      </c>
      <c r="X24" s="19">
        <f t="shared" si="12"/>
        <v>382053.27</v>
      </c>
      <c r="Y24" s="37">
        <f t="shared" si="12"/>
        <v>225155.02000000002</v>
      </c>
      <c r="Z24" s="37">
        <f t="shared" si="12"/>
        <v>496601.29000000004</v>
      </c>
      <c r="AA24" s="45">
        <f t="shared" si="12"/>
        <v>245339.89</v>
      </c>
      <c r="AB24" s="45">
        <f t="shared" si="12"/>
        <v>203993.28</v>
      </c>
      <c r="AC24" s="45">
        <f t="shared" si="12"/>
        <v>403902.01</v>
      </c>
      <c r="AD24" s="45">
        <f t="shared" si="12"/>
        <v>430896.98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-169521.53000000026</v>
      </c>
      <c r="C25" s="20">
        <f>C10+C14-C24</f>
        <v>-443886.81999999995</v>
      </c>
      <c r="D25" s="20">
        <f t="shared" ref="D25:AG25" si="13">D10+D14-D24</f>
        <v>-278552.95999999996</v>
      </c>
      <c r="E25" s="20">
        <f t="shared" si="13"/>
        <v>-386928.64999999997</v>
      </c>
      <c r="F25" s="20">
        <f t="shared" si="13"/>
        <v>-273343.59999999998</v>
      </c>
      <c r="G25" s="20">
        <f t="shared" si="13"/>
        <v>-354049.36</v>
      </c>
      <c r="H25" s="20">
        <f t="shared" si="13"/>
        <v>-263697.69999999995</v>
      </c>
      <c r="I25" s="20">
        <f t="shared" si="13"/>
        <v>-323237.98999999993</v>
      </c>
      <c r="J25" s="20">
        <f t="shared" si="13"/>
        <v>-215324.05999999994</v>
      </c>
      <c r="K25" s="20">
        <f t="shared" si="13"/>
        <v>-200815.24</v>
      </c>
      <c r="L25" s="20">
        <f t="shared" si="13"/>
        <v>-375448.55</v>
      </c>
      <c r="M25" s="20">
        <f t="shared" si="13"/>
        <v>-315187.02</v>
      </c>
      <c r="N25" s="20">
        <f t="shared" si="13"/>
        <v>-267174.40000000002</v>
      </c>
      <c r="O25" s="20">
        <f t="shared" si="13"/>
        <v>-344792.30000000005</v>
      </c>
      <c r="P25" s="20">
        <f t="shared" si="13"/>
        <v>-322105.93000000005</v>
      </c>
      <c r="Q25" s="20">
        <f t="shared" si="13"/>
        <v>-251169.71000000002</v>
      </c>
      <c r="R25" s="20">
        <f t="shared" si="13"/>
        <v>-326222.25</v>
      </c>
      <c r="S25" s="20">
        <f t="shared" si="13"/>
        <v>-497548.41999999993</v>
      </c>
      <c r="T25" s="20">
        <f t="shared" si="13"/>
        <v>-328965.56999999995</v>
      </c>
      <c r="U25" s="20">
        <f t="shared" si="13"/>
        <v>-352094.69999999995</v>
      </c>
      <c r="V25" s="20">
        <f t="shared" si="13"/>
        <v>-400792.80999999994</v>
      </c>
      <c r="W25" s="20">
        <f t="shared" si="13"/>
        <v>-306159.52999999997</v>
      </c>
      <c r="X25" s="20">
        <f t="shared" si="13"/>
        <v>-343497.62</v>
      </c>
      <c r="Y25" s="38">
        <f t="shared" si="13"/>
        <v>-218861.35000000003</v>
      </c>
      <c r="Z25" s="38">
        <f t="shared" si="13"/>
        <v>-402936.69000000006</v>
      </c>
      <c r="AA25" s="46">
        <f t="shared" si="13"/>
        <v>-428781.90000000008</v>
      </c>
      <c r="AB25" s="46">
        <f t="shared" si="13"/>
        <v>-408149.39</v>
      </c>
      <c r="AC25" s="46">
        <f t="shared" si="13"/>
        <v>-595873.94000000006</v>
      </c>
      <c r="AD25" s="46">
        <f t="shared" si="13"/>
        <v>-720705.72</v>
      </c>
      <c r="AE25" s="20">
        <f t="shared" si="13"/>
        <v>-720705.72</v>
      </c>
      <c r="AF25" s="20">
        <f t="shared" si="13"/>
        <v>-720705.72</v>
      </c>
      <c r="AG25" s="20">
        <f t="shared" si="13"/>
        <v>-720705.72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customSheetViews>
    <customSheetView guid="{A37AB39E-A6A7-4C2E-B017-BD54CB8A3967}" showGridLines="0" showRowCol="0">
      <pane xSplit="1" ySplit="2" topLeftCell="B3" activePane="bottomRight" state="frozen"/>
      <selection pane="bottomRight" activeCell="B4" sqref="B4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34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3752</v>
      </c>
      <c r="C3" s="27">
        <v>134</v>
      </c>
      <c r="D3" s="27">
        <f>C3</f>
        <v>134</v>
      </c>
      <c r="E3" s="27">
        <f t="shared" ref="E3:X3" si="1">D3</f>
        <v>134</v>
      </c>
      <c r="F3" s="27">
        <f t="shared" si="1"/>
        <v>134</v>
      </c>
      <c r="G3" s="27">
        <f t="shared" si="1"/>
        <v>134</v>
      </c>
      <c r="H3" s="27">
        <f t="shared" si="1"/>
        <v>134</v>
      </c>
      <c r="I3" s="27">
        <f t="shared" si="1"/>
        <v>134</v>
      </c>
      <c r="J3" s="27">
        <f t="shared" si="1"/>
        <v>134</v>
      </c>
      <c r="K3" s="27">
        <f t="shared" si="1"/>
        <v>134</v>
      </c>
      <c r="L3" s="27">
        <f t="shared" si="1"/>
        <v>134</v>
      </c>
      <c r="M3" s="27">
        <f t="shared" si="1"/>
        <v>134</v>
      </c>
      <c r="N3" s="27">
        <f t="shared" si="1"/>
        <v>134</v>
      </c>
      <c r="O3" s="27">
        <f t="shared" si="1"/>
        <v>134</v>
      </c>
      <c r="P3" s="27">
        <f t="shared" si="1"/>
        <v>134</v>
      </c>
      <c r="Q3" s="27">
        <f t="shared" si="1"/>
        <v>134</v>
      </c>
      <c r="R3" s="27">
        <f t="shared" si="1"/>
        <v>134</v>
      </c>
      <c r="S3" s="27">
        <f t="shared" si="1"/>
        <v>134</v>
      </c>
      <c r="T3" s="27">
        <f t="shared" si="1"/>
        <v>134</v>
      </c>
      <c r="U3" s="27">
        <f t="shared" si="1"/>
        <v>134</v>
      </c>
      <c r="V3" s="27">
        <f t="shared" si="1"/>
        <v>134</v>
      </c>
      <c r="W3" s="27">
        <f t="shared" si="1"/>
        <v>134</v>
      </c>
      <c r="X3" s="27">
        <f t="shared" si="1"/>
        <v>134</v>
      </c>
      <c r="Y3" s="27">
        <v>134</v>
      </c>
      <c r="Z3" s="27">
        <v>134</v>
      </c>
      <c r="AA3" s="27">
        <v>134</v>
      </c>
      <c r="AB3" s="27">
        <v>134</v>
      </c>
      <c r="AC3" s="27">
        <v>134</v>
      </c>
      <c r="AD3" s="27">
        <v>134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3752</v>
      </c>
      <c r="C5" s="5">
        <f t="shared" ref="C5:AB5" si="2">+C3-C4</f>
        <v>134</v>
      </c>
      <c r="D5" s="5">
        <f t="shared" si="2"/>
        <v>134</v>
      </c>
      <c r="E5" s="5">
        <f t="shared" si="2"/>
        <v>134</v>
      </c>
      <c r="F5" s="5">
        <f t="shared" si="2"/>
        <v>134</v>
      </c>
      <c r="G5" s="5">
        <f t="shared" si="2"/>
        <v>134</v>
      </c>
      <c r="H5" s="5">
        <f t="shared" si="2"/>
        <v>134</v>
      </c>
      <c r="I5" s="5">
        <f t="shared" si="2"/>
        <v>134</v>
      </c>
      <c r="J5" s="5">
        <f t="shared" si="2"/>
        <v>134</v>
      </c>
      <c r="K5" s="5">
        <f t="shared" si="2"/>
        <v>134</v>
      </c>
      <c r="L5" s="5">
        <f t="shared" si="2"/>
        <v>134</v>
      </c>
      <c r="M5" s="5">
        <f t="shared" si="2"/>
        <v>134</v>
      </c>
      <c r="N5" s="5">
        <f t="shared" si="2"/>
        <v>134</v>
      </c>
      <c r="O5" s="5">
        <f t="shared" si="2"/>
        <v>134</v>
      </c>
      <c r="P5" s="5">
        <f t="shared" si="2"/>
        <v>134</v>
      </c>
      <c r="Q5" s="5">
        <f t="shared" si="2"/>
        <v>134</v>
      </c>
      <c r="R5" s="5">
        <f t="shared" si="2"/>
        <v>134</v>
      </c>
      <c r="S5" s="5">
        <f t="shared" si="2"/>
        <v>134</v>
      </c>
      <c r="T5" s="5">
        <f t="shared" si="2"/>
        <v>134</v>
      </c>
      <c r="U5" s="5">
        <f t="shared" si="2"/>
        <v>134</v>
      </c>
      <c r="V5" s="5">
        <f t="shared" si="2"/>
        <v>134</v>
      </c>
      <c r="W5" s="5">
        <f t="shared" si="2"/>
        <v>134</v>
      </c>
      <c r="X5" s="5">
        <f t="shared" si="2"/>
        <v>134</v>
      </c>
      <c r="Y5" s="5">
        <f t="shared" si="2"/>
        <v>134</v>
      </c>
      <c r="Z5" s="5">
        <f>+Z3-Z4</f>
        <v>134</v>
      </c>
      <c r="AA5" s="5">
        <f t="shared" si="2"/>
        <v>134</v>
      </c>
      <c r="AB5" s="5">
        <f t="shared" si="2"/>
        <v>134</v>
      </c>
      <c r="AC5" s="5">
        <f>+AC3-AC4</f>
        <v>134</v>
      </c>
      <c r="AD5" s="5">
        <f>+AD3-AD4</f>
        <v>134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4">
        <f>SUM(C6:AG6)</f>
        <v>3552</v>
      </c>
      <c r="C6" s="34">
        <v>129</v>
      </c>
      <c r="D6" s="34">
        <v>128</v>
      </c>
      <c r="E6" s="34">
        <v>126</v>
      </c>
      <c r="F6" s="34">
        <v>121</v>
      </c>
      <c r="G6" s="34">
        <v>119</v>
      </c>
      <c r="H6" s="34">
        <v>130</v>
      </c>
      <c r="I6" s="34">
        <v>126</v>
      </c>
      <c r="J6" s="34">
        <v>127</v>
      </c>
      <c r="K6" s="34">
        <v>132</v>
      </c>
      <c r="L6" s="34">
        <v>133</v>
      </c>
      <c r="M6" s="34">
        <v>129</v>
      </c>
      <c r="N6" s="34">
        <v>134</v>
      </c>
      <c r="O6" s="34">
        <v>134</v>
      </c>
      <c r="P6" s="34">
        <v>131</v>
      </c>
      <c r="Q6" s="34">
        <v>134</v>
      </c>
      <c r="R6" s="34">
        <v>134</v>
      </c>
      <c r="S6" s="34">
        <v>120</v>
      </c>
      <c r="T6" s="34">
        <v>127</v>
      </c>
      <c r="U6" s="34">
        <v>128</v>
      </c>
      <c r="V6" s="34">
        <v>124</v>
      </c>
      <c r="W6" s="34">
        <v>127</v>
      </c>
      <c r="X6" s="34">
        <v>133</v>
      </c>
      <c r="Y6" s="34">
        <v>131</v>
      </c>
      <c r="Z6" s="34">
        <v>125</v>
      </c>
      <c r="AA6" s="34">
        <v>124</v>
      </c>
      <c r="AB6" s="34">
        <v>112</v>
      </c>
      <c r="AC6" s="34">
        <v>124</v>
      </c>
      <c r="AD6" s="34">
        <v>110</v>
      </c>
      <c r="AE6" s="25"/>
      <c r="AF6" s="25"/>
      <c r="AG6" s="25"/>
    </row>
    <row r="7" spans="1:33">
      <c r="A7" s="4" t="s">
        <v>4</v>
      </c>
      <c r="B7" s="7">
        <f>IF(B6=0,0,B6/B5)</f>
        <v>0.94669509594882728</v>
      </c>
      <c r="C7" s="7">
        <f t="shared" ref="C7:AB7" si="3">IF(C6=0,0,C6/C5)</f>
        <v>0.96268656716417911</v>
      </c>
      <c r="D7" s="7">
        <f t="shared" si="3"/>
        <v>0.95522388059701491</v>
      </c>
      <c r="E7" s="7">
        <f t="shared" si="3"/>
        <v>0.94029850746268662</v>
      </c>
      <c r="F7" s="7">
        <f t="shared" si="3"/>
        <v>0.90298507462686572</v>
      </c>
      <c r="G7" s="7">
        <f t="shared" si="3"/>
        <v>0.88805970149253732</v>
      </c>
      <c r="H7" s="7">
        <f t="shared" si="3"/>
        <v>0.97014925373134331</v>
      </c>
      <c r="I7" s="7">
        <f t="shared" si="3"/>
        <v>0.94029850746268662</v>
      </c>
      <c r="J7" s="7">
        <f t="shared" si="3"/>
        <v>0.94776119402985071</v>
      </c>
      <c r="K7" s="7">
        <f t="shared" si="3"/>
        <v>0.9850746268656716</v>
      </c>
      <c r="L7" s="7">
        <f t="shared" si="3"/>
        <v>0.9925373134328358</v>
      </c>
      <c r="M7" s="7">
        <f t="shared" si="3"/>
        <v>0.96268656716417911</v>
      </c>
      <c r="N7" s="7">
        <f t="shared" si="3"/>
        <v>1</v>
      </c>
      <c r="O7" s="7">
        <f t="shared" si="3"/>
        <v>1</v>
      </c>
      <c r="P7" s="7">
        <f t="shared" si="3"/>
        <v>0.97761194029850751</v>
      </c>
      <c r="Q7" s="7">
        <f t="shared" si="3"/>
        <v>1</v>
      </c>
      <c r="R7" s="7">
        <f t="shared" si="3"/>
        <v>1</v>
      </c>
      <c r="S7" s="7">
        <f t="shared" si="3"/>
        <v>0.89552238805970152</v>
      </c>
      <c r="T7" s="7">
        <f t="shared" si="3"/>
        <v>0.94776119402985071</v>
      </c>
      <c r="U7" s="7">
        <f t="shared" si="3"/>
        <v>0.95522388059701491</v>
      </c>
      <c r="V7" s="7">
        <f t="shared" si="3"/>
        <v>0.92537313432835822</v>
      </c>
      <c r="W7" s="7">
        <f t="shared" si="3"/>
        <v>0.94776119402985071</v>
      </c>
      <c r="X7" s="7">
        <f t="shared" si="3"/>
        <v>0.9925373134328358</v>
      </c>
      <c r="Y7" s="7">
        <f t="shared" si="3"/>
        <v>0.97761194029850751</v>
      </c>
      <c r="Z7" s="7">
        <f t="shared" si="3"/>
        <v>0.93283582089552242</v>
      </c>
      <c r="AA7" s="7">
        <f t="shared" si="3"/>
        <v>0.92537313432835822</v>
      </c>
      <c r="AB7" s="7">
        <f t="shared" si="3"/>
        <v>0.83582089552238803</v>
      </c>
      <c r="AC7" s="7">
        <f>IF(AC6=0,0,AC6/AC5)</f>
        <v>0.92537313432835822</v>
      </c>
      <c r="AD7" s="7">
        <f>IF(AD6=0,0,AD6/AD5)</f>
        <v>0.82089552238805974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2743.9859262387386</v>
      </c>
      <c r="C8" s="6">
        <f t="shared" ref="C8:Y8" si="4">IF(C6=0,0,C11/C6)</f>
        <v>2764.0355813953493</v>
      </c>
      <c r="D8" s="6">
        <f t="shared" si="4"/>
        <v>2679.6578906250002</v>
      </c>
      <c r="E8" s="6">
        <f t="shared" si="4"/>
        <v>2696.9153968253972</v>
      </c>
      <c r="F8" s="6">
        <f t="shared" si="4"/>
        <v>2565.6385123966943</v>
      </c>
      <c r="G8" s="6">
        <f t="shared" si="4"/>
        <v>2648.8204201680674</v>
      </c>
      <c r="H8" s="6">
        <f t="shared" si="4"/>
        <v>2794.0574615384612</v>
      </c>
      <c r="I8" s="6">
        <f t="shared" si="4"/>
        <v>2731.3242063492062</v>
      </c>
      <c r="J8" s="6">
        <f t="shared" si="4"/>
        <v>2659.5553543307087</v>
      </c>
      <c r="K8" s="6">
        <f t="shared" si="4"/>
        <v>2693.4706818181817</v>
      </c>
      <c r="L8" s="6">
        <f t="shared" si="4"/>
        <v>2718.5503007518796</v>
      </c>
      <c r="M8" s="6">
        <f t="shared" si="4"/>
        <v>2918.3527906976747</v>
      </c>
      <c r="N8" s="6">
        <f t="shared" si="4"/>
        <v>2770.9517910447757</v>
      </c>
      <c r="O8" s="6">
        <f t="shared" si="4"/>
        <v>2722.4661940298506</v>
      </c>
      <c r="P8" s="6">
        <f t="shared" si="4"/>
        <v>2669.5437404580152</v>
      </c>
      <c r="Q8" s="6">
        <f t="shared" si="4"/>
        <v>2699.155149253731</v>
      </c>
      <c r="R8" s="6">
        <f t="shared" si="4"/>
        <v>2691.2032835820896</v>
      </c>
      <c r="S8" s="6">
        <f t="shared" si="4"/>
        <v>2863.4550833333333</v>
      </c>
      <c r="T8" s="6">
        <f t="shared" si="4"/>
        <v>2676.9058267716532</v>
      </c>
      <c r="U8" s="6">
        <f t="shared" si="4"/>
        <v>2640.9011718749998</v>
      </c>
      <c r="V8" s="6">
        <f t="shared" si="4"/>
        <v>2653.2024999999999</v>
      </c>
      <c r="W8" s="6">
        <f t="shared" si="4"/>
        <v>2660.481968503937</v>
      </c>
      <c r="X8" s="6">
        <f t="shared" si="4"/>
        <v>2758.2423308270677</v>
      </c>
      <c r="Y8" s="6">
        <f t="shared" si="4"/>
        <v>2721.979923664122</v>
      </c>
      <c r="Z8" s="6">
        <f t="shared" ref="Z8:AG8" si="5">IF(Z6=0,0,Z11/Z6)</f>
        <v>2834.89264</v>
      </c>
      <c r="AA8" s="6">
        <f t="shared" si="5"/>
        <v>2842.9779838709678</v>
      </c>
      <c r="AB8" s="6">
        <f t="shared" si="5"/>
        <v>3160.0924107142855</v>
      </c>
      <c r="AC8" s="6">
        <f t="shared" si="5"/>
        <v>2885.4632258064516</v>
      </c>
      <c r="AD8" s="6">
        <f t="shared" si="5"/>
        <v>2765.740636363636</v>
      </c>
      <c r="AE8" s="6">
        <f t="shared" si="5"/>
        <v>0</v>
      </c>
      <c r="AF8" s="6">
        <f t="shared" si="5"/>
        <v>0</v>
      </c>
      <c r="AG8" s="6">
        <f t="shared" si="5"/>
        <v>0</v>
      </c>
    </row>
    <row r="9" spans="1:33">
      <c r="A9" s="4" t="s">
        <v>6</v>
      </c>
      <c r="B9" s="6">
        <f>IF(B11=0,0,B11/B3)</f>
        <v>2597.7180197228145</v>
      </c>
      <c r="C9" s="6">
        <f t="shared" ref="C9:AB9" si="6">IF(C11=0,0,C11/C3)</f>
        <v>2660.8999253731345</v>
      </c>
      <c r="D9" s="6">
        <f t="shared" si="6"/>
        <v>2559.6732089552243</v>
      </c>
      <c r="E9" s="6">
        <f t="shared" si="6"/>
        <v>2535.90552238806</v>
      </c>
      <c r="F9" s="6">
        <f t="shared" si="6"/>
        <v>2316.7332835820898</v>
      </c>
      <c r="G9" s="6">
        <f t="shared" si="6"/>
        <v>2352.310671641791</v>
      </c>
      <c r="H9" s="6">
        <f t="shared" si="6"/>
        <v>2710.6527611940296</v>
      </c>
      <c r="I9" s="6">
        <f t="shared" si="6"/>
        <v>2568.2600746268654</v>
      </c>
      <c r="J9" s="6">
        <f t="shared" si="6"/>
        <v>2520.6233582089553</v>
      </c>
      <c r="K9" s="6">
        <f t="shared" si="6"/>
        <v>2653.2696268656719</v>
      </c>
      <c r="L9" s="6">
        <f t="shared" si="6"/>
        <v>2698.2626119402985</v>
      </c>
      <c r="M9" s="6">
        <f t="shared" si="6"/>
        <v>2809.4590298507464</v>
      </c>
      <c r="N9" s="6">
        <f t="shared" si="6"/>
        <v>2770.9517910447757</v>
      </c>
      <c r="O9" s="6">
        <f t="shared" si="6"/>
        <v>2722.4661940298506</v>
      </c>
      <c r="P9" s="6">
        <f t="shared" si="6"/>
        <v>2609.7778358208952</v>
      </c>
      <c r="Q9" s="6">
        <f t="shared" si="6"/>
        <v>2699.155149253731</v>
      </c>
      <c r="R9" s="6">
        <f t="shared" si="6"/>
        <v>2691.2032835820896</v>
      </c>
      <c r="S9" s="6">
        <f t="shared" si="6"/>
        <v>2564.288134328358</v>
      </c>
      <c r="T9" s="6">
        <f t="shared" si="6"/>
        <v>2537.0674626865671</v>
      </c>
      <c r="U9" s="6">
        <f t="shared" si="6"/>
        <v>2522.6518656716416</v>
      </c>
      <c r="V9" s="6">
        <f t="shared" si="6"/>
        <v>2455.2023134328356</v>
      </c>
      <c r="W9" s="6">
        <f t="shared" si="6"/>
        <v>2521.5015671641791</v>
      </c>
      <c r="X9" s="6">
        <f t="shared" si="6"/>
        <v>2737.6584328358208</v>
      </c>
      <c r="Y9" s="6">
        <f t="shared" si="6"/>
        <v>2661.0400746268656</v>
      </c>
      <c r="Z9" s="6">
        <f t="shared" si="6"/>
        <v>2644.4894029850748</v>
      </c>
      <c r="AA9" s="6">
        <f t="shared" si="6"/>
        <v>2630.8154477611943</v>
      </c>
      <c r="AB9" s="6">
        <f t="shared" si="6"/>
        <v>2641.2712686567161</v>
      </c>
      <c r="AC9" s="6">
        <f>IF(AC11=0,0,AC11/AC3)</f>
        <v>2670.1301492537314</v>
      </c>
      <c r="AD9" s="6">
        <f>IF(AD11=0,0,AD11/AD3)</f>
        <v>2270.3841044776118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f>-348869.77+53190</f>
        <v>-295679.77</v>
      </c>
      <c r="D10" s="29">
        <f>C25</f>
        <v>-243982.09999999998</v>
      </c>
      <c r="E10" s="29">
        <f t="shared" ref="E10:AB10" si="7">D25</f>
        <v>-255033.5799999999</v>
      </c>
      <c r="F10" s="29">
        <f t="shared" si="7"/>
        <v>-152312.33999999991</v>
      </c>
      <c r="G10" s="29">
        <f t="shared" si="7"/>
        <v>-308863.11999999994</v>
      </c>
      <c r="H10" s="29">
        <f t="shared" si="7"/>
        <v>-239970.48999999993</v>
      </c>
      <c r="I10" s="29">
        <f t="shared" si="7"/>
        <v>-62270.979999999923</v>
      </c>
      <c r="J10" s="29">
        <f t="shared" si="7"/>
        <v>71114.870000000054</v>
      </c>
      <c r="K10" s="29">
        <f t="shared" si="7"/>
        <v>-207138.71999999986</v>
      </c>
      <c r="L10" s="29">
        <f t="shared" si="7"/>
        <v>-287810.12999999989</v>
      </c>
      <c r="M10" s="29">
        <f t="shared" si="7"/>
        <v>-239884.89999999991</v>
      </c>
      <c r="N10" s="29">
        <f t="shared" si="7"/>
        <v>-160515.66999999993</v>
      </c>
      <c r="O10" s="29">
        <f t="shared" si="7"/>
        <v>-181244.15999999997</v>
      </c>
      <c r="P10" s="29">
        <f t="shared" si="7"/>
        <v>-57068.69</v>
      </c>
      <c r="Q10" s="29">
        <f t="shared" si="7"/>
        <v>-54723.140000000014</v>
      </c>
      <c r="R10" s="29">
        <f t="shared" si="7"/>
        <v>11648.090000000026</v>
      </c>
      <c r="S10" s="29">
        <f t="shared" si="7"/>
        <v>-102391.38999999996</v>
      </c>
      <c r="T10" s="29">
        <f t="shared" si="7"/>
        <v>-213971.55</v>
      </c>
      <c r="U10" s="29">
        <f t="shared" si="7"/>
        <v>-176631.79000000004</v>
      </c>
      <c r="V10" s="29">
        <f t="shared" si="7"/>
        <v>8859.6799999999348</v>
      </c>
      <c r="W10" s="29">
        <f t="shared" si="7"/>
        <v>-84876.770000000135</v>
      </c>
      <c r="X10" s="29">
        <f t="shared" si="7"/>
        <v>-235936.74000000005</v>
      </c>
      <c r="Y10" s="29">
        <f t="shared" si="7"/>
        <v>-224410.14000000007</v>
      </c>
      <c r="Z10" s="29">
        <f t="shared" si="7"/>
        <v>-148080.00000000006</v>
      </c>
      <c r="AA10" s="29">
        <f t="shared" si="7"/>
        <v>-107247.62000000011</v>
      </c>
      <c r="AB10" s="29">
        <f t="shared" si="7"/>
        <v>-107191.12000000011</v>
      </c>
      <c r="AC10" s="29">
        <f>AB25</f>
        <v>-112972.50000000012</v>
      </c>
      <c r="AD10" s="29">
        <f>AC25</f>
        <v>-66120.730000000156</v>
      </c>
      <c r="AE10" s="29">
        <f>AD25</f>
        <v>-164503.00000000012</v>
      </c>
      <c r="AF10" s="29">
        <f>AE25</f>
        <v>-164503.00000000012</v>
      </c>
      <c r="AG10" s="29">
        <f>AF25</f>
        <v>-164503.00000000012</v>
      </c>
    </row>
    <row r="11" spans="1:33">
      <c r="A11" s="4" t="s">
        <v>8</v>
      </c>
      <c r="B11" s="23">
        <f>SUM(C11:AG11)</f>
        <v>9746638.0099999998</v>
      </c>
      <c r="C11" s="23">
        <v>356560.59</v>
      </c>
      <c r="D11" s="23">
        <v>342996.21</v>
      </c>
      <c r="E11" s="23">
        <v>339811.34</v>
      </c>
      <c r="F11" s="23">
        <v>310442.26</v>
      </c>
      <c r="G11" s="23">
        <v>315209.63</v>
      </c>
      <c r="H11" s="23">
        <v>363227.47</v>
      </c>
      <c r="I11" s="23">
        <v>344146.85</v>
      </c>
      <c r="J11" s="23">
        <v>337763.53</v>
      </c>
      <c r="K11" s="23">
        <v>355538.13</v>
      </c>
      <c r="L11" s="23">
        <v>361567.19</v>
      </c>
      <c r="M11" s="23">
        <v>376467.51</v>
      </c>
      <c r="N11" s="23">
        <v>371307.54</v>
      </c>
      <c r="O11" s="23">
        <v>364810.47</v>
      </c>
      <c r="P11" s="23">
        <v>349710.23</v>
      </c>
      <c r="Q11" s="23">
        <v>361686.79</v>
      </c>
      <c r="R11" s="23">
        <v>360621.24</v>
      </c>
      <c r="S11" s="23">
        <v>343614.61</v>
      </c>
      <c r="T11" s="23">
        <v>339967.04</v>
      </c>
      <c r="U11" s="23">
        <v>338035.35</v>
      </c>
      <c r="V11" s="23">
        <v>328997.11</v>
      </c>
      <c r="W11" s="23">
        <v>337881.21</v>
      </c>
      <c r="X11" s="23">
        <v>366846.23</v>
      </c>
      <c r="Y11" s="23">
        <v>356579.37</v>
      </c>
      <c r="Z11" s="23">
        <v>354361.58</v>
      </c>
      <c r="AA11" s="23">
        <v>352529.27</v>
      </c>
      <c r="AB11" s="23">
        <v>353930.35</v>
      </c>
      <c r="AC11" s="23">
        <v>357797.44</v>
      </c>
      <c r="AD11" s="23">
        <v>304231.46999999997</v>
      </c>
      <c r="AE11" s="23"/>
      <c r="AF11" s="23"/>
      <c r="AG11" s="23"/>
    </row>
    <row r="12" spans="1:33">
      <c r="A12" s="4" t="s">
        <v>9</v>
      </c>
      <c r="B12" s="23">
        <f>SUM(C12:AG12)</f>
        <v>3469821.11</v>
      </c>
      <c r="C12" s="23">
        <f>24800+96603</f>
        <v>121403</v>
      </c>
      <c r="D12" s="23">
        <f>24100+110243</f>
        <v>134343</v>
      </c>
      <c r="E12" s="23">
        <f>33000+112657</f>
        <v>145657</v>
      </c>
      <c r="F12" s="23">
        <f>21700+89891</f>
        <v>111591</v>
      </c>
      <c r="G12" s="23">
        <f>22100+102769</f>
        <v>124869</v>
      </c>
      <c r="H12" s="23">
        <f>23500+107829</f>
        <v>131329</v>
      </c>
      <c r="I12" s="23">
        <f>22700+91651</f>
        <v>114351</v>
      </c>
      <c r="J12" s="23">
        <f>22900+86277</f>
        <v>109177</v>
      </c>
      <c r="K12" s="23">
        <f>23800+94317.71</f>
        <v>118117.71</v>
      </c>
      <c r="L12" s="23">
        <f>24000+107996</f>
        <v>131996</v>
      </c>
      <c r="M12" s="23">
        <f>24000+114018.5</f>
        <v>138018.5</v>
      </c>
      <c r="N12" s="23">
        <f>24100+98196</f>
        <v>122296</v>
      </c>
      <c r="O12" s="23">
        <f>24200+108173.4</f>
        <v>132373.4</v>
      </c>
      <c r="P12" s="23">
        <f>24100+111980</f>
        <v>136080</v>
      </c>
      <c r="Q12" s="23">
        <f>24500+112463</f>
        <v>136963</v>
      </c>
      <c r="R12" s="23">
        <f>25200+114531</f>
        <v>139731</v>
      </c>
      <c r="S12" s="23">
        <f>23400+112269</f>
        <v>135669</v>
      </c>
      <c r="T12" s="23">
        <f>23600+106828</f>
        <v>130428</v>
      </c>
      <c r="U12" s="23">
        <f>24100+89149</f>
        <v>113249</v>
      </c>
      <c r="V12" s="23">
        <f>23500+79120</f>
        <v>102620</v>
      </c>
      <c r="W12" s="23">
        <f>24100+97690</f>
        <v>121790</v>
      </c>
      <c r="X12" s="23">
        <f>24600+80918.5</f>
        <v>105518.5</v>
      </c>
      <c r="Y12" s="23">
        <f>23900+100905</f>
        <v>124805</v>
      </c>
      <c r="Z12" s="23">
        <f>23300+111050</f>
        <v>134350</v>
      </c>
      <c r="AA12" s="23">
        <f>23300+100315</f>
        <v>123615</v>
      </c>
      <c r="AB12" s="23">
        <f>22400+70811</f>
        <v>93211</v>
      </c>
      <c r="AC12" s="23">
        <f>24900+100300</f>
        <v>125200</v>
      </c>
      <c r="AD12" s="23">
        <f>21300+89770</f>
        <v>111070</v>
      </c>
      <c r="AE12" s="23"/>
      <c r="AF12" s="23"/>
      <c r="AG12" s="23"/>
    </row>
    <row r="13" spans="1:33">
      <c r="A13" s="8" t="s">
        <v>10</v>
      </c>
      <c r="B13" s="23">
        <f>SUM(C13:AG13)</f>
        <v>295064.99</v>
      </c>
      <c r="C13" s="24">
        <f>487640.59-C12-C11</f>
        <v>9677</v>
      </c>
      <c r="D13" s="24">
        <f>484536.21-D12-D11</f>
        <v>7197</v>
      </c>
      <c r="E13" s="24">
        <f>496164.34-E12-E11</f>
        <v>10696</v>
      </c>
      <c r="F13" s="24">
        <f>437279.51-F12-F11</f>
        <v>15246.25</v>
      </c>
      <c r="G13" s="24">
        <f>448461.63-G12-G11</f>
        <v>8383</v>
      </c>
      <c r="H13" s="24">
        <f>505013.47-H12-H11</f>
        <v>10457</v>
      </c>
      <c r="I13" s="24">
        <f>469087.85-I12-I11</f>
        <v>10590</v>
      </c>
      <c r="J13" s="24">
        <f>469171.53-J12-J11+298</f>
        <v>22529</v>
      </c>
      <c r="K13" s="23">
        <f>472588.76-K12-K11</f>
        <v>-1067.0800000000163</v>
      </c>
      <c r="L13" s="23">
        <f>502538.19-L12-L11</f>
        <v>8975</v>
      </c>
      <c r="M13" s="23">
        <f>518588.01-M12-M11</f>
        <v>4102</v>
      </c>
      <c r="N13" s="23">
        <f>498054.54-N12-N11</f>
        <v>4451</v>
      </c>
      <c r="O13" s="23">
        <f>505612.12-O12-O11</f>
        <v>8428.25</v>
      </c>
      <c r="P13" s="23">
        <f>490105.23-P12-P11</f>
        <v>4315</v>
      </c>
      <c r="Q13" s="23">
        <f>506290.19-Q12-Q11</f>
        <v>7640.4000000000233</v>
      </c>
      <c r="R13" s="23">
        <f>506326.24-R12-R11</f>
        <v>5974</v>
      </c>
      <c r="S13" s="23">
        <f>489016.61-S12-S11</f>
        <v>9733</v>
      </c>
      <c r="T13" s="23">
        <f>477231.04-T12-T11</f>
        <v>6836</v>
      </c>
      <c r="U13" s="23">
        <f>459866.35-U12-U11</f>
        <v>8582</v>
      </c>
      <c r="V13" s="23">
        <f>446788.11-V12-V11</f>
        <v>15171</v>
      </c>
      <c r="W13" s="23">
        <f>470337.21-W12-W11</f>
        <v>10666</v>
      </c>
      <c r="X13" s="23">
        <f>487042.73-X12-X11</f>
        <v>14678</v>
      </c>
      <c r="Y13" s="23">
        <f>495417.37-Y12-Y11</f>
        <v>14033</v>
      </c>
      <c r="Z13" s="23">
        <f>503126.8-Z12-Z11</f>
        <v>14415.219999999972</v>
      </c>
      <c r="AA13" s="23">
        <f>3850+2900+4880+6008+1177</f>
        <v>18815</v>
      </c>
      <c r="AB13" s="23">
        <f>5600+2900+300+4495+3953+1441-500</f>
        <v>18189</v>
      </c>
      <c r="AC13" s="23">
        <f>2100+2000+4845+3105+1164+292+34+450-800</f>
        <v>13190</v>
      </c>
      <c r="AD13" s="23">
        <f>1400+4440+300+3280+3082+562+278.95-180</f>
        <v>13162.95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13511524.109999999</v>
      </c>
      <c r="C14" s="18">
        <f>SUM(C11:C13)</f>
        <v>487640.59</v>
      </c>
      <c r="D14" s="18">
        <f t="shared" ref="D14:W14" si="8">SUM(D11:D13)</f>
        <v>484536.21</v>
      </c>
      <c r="E14" s="18">
        <f t="shared" si="8"/>
        <v>496164.34</v>
      </c>
      <c r="F14" s="18">
        <f t="shared" si="8"/>
        <v>437279.51</v>
      </c>
      <c r="G14" s="18">
        <f t="shared" si="8"/>
        <v>448461.63</v>
      </c>
      <c r="H14" s="18">
        <f t="shared" si="8"/>
        <v>505013.47</v>
      </c>
      <c r="I14" s="18">
        <f t="shared" si="8"/>
        <v>469087.85</v>
      </c>
      <c r="J14" s="18">
        <f t="shared" si="8"/>
        <v>469469.53</v>
      </c>
      <c r="K14" s="18">
        <f t="shared" si="8"/>
        <v>472588.76</v>
      </c>
      <c r="L14" s="18">
        <f t="shared" si="8"/>
        <v>502538.19</v>
      </c>
      <c r="M14" s="18">
        <f t="shared" si="8"/>
        <v>518588.01</v>
      </c>
      <c r="N14" s="18">
        <f t="shared" si="8"/>
        <v>498054.54</v>
      </c>
      <c r="O14" s="18">
        <f t="shared" si="8"/>
        <v>505612.12</v>
      </c>
      <c r="P14" s="18">
        <f t="shared" si="8"/>
        <v>490105.23</v>
      </c>
      <c r="Q14" s="18">
        <f t="shared" si="8"/>
        <v>506290.19</v>
      </c>
      <c r="R14" s="18">
        <f t="shared" si="8"/>
        <v>506326.24</v>
      </c>
      <c r="S14" s="18">
        <f t="shared" si="8"/>
        <v>489016.61</v>
      </c>
      <c r="T14" s="18">
        <f t="shared" si="8"/>
        <v>477231.04</v>
      </c>
      <c r="U14" s="18">
        <f t="shared" si="8"/>
        <v>459866.35</v>
      </c>
      <c r="V14" s="18">
        <f t="shared" si="8"/>
        <v>446788.11</v>
      </c>
      <c r="W14" s="18">
        <f t="shared" si="8"/>
        <v>470337.21</v>
      </c>
      <c r="X14" s="18">
        <f t="shared" ref="X14:AG14" si="9">SUM(X11:X13)</f>
        <v>487042.73</v>
      </c>
      <c r="Y14" s="18">
        <f t="shared" si="9"/>
        <v>495417.37</v>
      </c>
      <c r="Z14" s="18">
        <f t="shared" si="9"/>
        <v>503126.8</v>
      </c>
      <c r="AA14" s="18">
        <f t="shared" si="9"/>
        <v>494959.27</v>
      </c>
      <c r="AB14" s="18">
        <f t="shared" si="9"/>
        <v>465330.35</v>
      </c>
      <c r="AC14" s="18">
        <f t="shared" si="9"/>
        <v>496187.44</v>
      </c>
      <c r="AD14" s="18">
        <f>SUM(AD11:AD13)</f>
        <v>428464.42</v>
      </c>
      <c r="AE14" s="18">
        <f t="shared" si="9"/>
        <v>0</v>
      </c>
      <c r="AF14" s="18">
        <f t="shared" si="9"/>
        <v>0</v>
      </c>
      <c r="AG14" s="18">
        <f t="shared" si="9"/>
        <v>0</v>
      </c>
    </row>
    <row r="15" spans="1:33">
      <c r="A15" s="16" t="s">
        <v>15</v>
      </c>
      <c r="B15" s="23">
        <f t="shared" ref="B15:B23" si="10">SUM(C15:AG15)</f>
        <v>4632818.1899999995</v>
      </c>
      <c r="C15" s="23">
        <f>3912+26900-14180+91852</f>
        <v>108484</v>
      </c>
      <c r="D15" s="23">
        <f>87510+35100-73183+95191</f>
        <v>144618</v>
      </c>
      <c r="E15" s="23">
        <f>95778+10000-8420+106464-9200</f>
        <v>194622</v>
      </c>
      <c r="F15" s="23">
        <f>69703+30400-9813+85056</f>
        <v>175346</v>
      </c>
      <c r="G15" s="23">
        <f>141003+28400+98651-4840</f>
        <v>263214</v>
      </c>
      <c r="H15" s="23">
        <f>34099+13000+101911-20938</f>
        <v>128072</v>
      </c>
      <c r="I15" s="23">
        <f>11841+77900-8900+88487</f>
        <v>169328</v>
      </c>
      <c r="J15" s="23">
        <f>92175+15600+85054-11790</f>
        <v>181039</v>
      </c>
      <c r="K15" s="23">
        <f>25443+50000+92155.71-10735</f>
        <v>156863.71000000002</v>
      </c>
      <c r="L15" s="23">
        <f>18649+29200+98486-17105</f>
        <v>129230</v>
      </c>
      <c r="M15" s="23">
        <f>60588+32900-6576+103673</f>
        <v>190585</v>
      </c>
      <c r="N15" s="23">
        <f>55573+39500-4340+95595</f>
        <v>186328</v>
      </c>
      <c r="O15" s="23">
        <f>29145+28200+94281-19730</f>
        <v>131896</v>
      </c>
      <c r="P15" s="23">
        <f>29766+39400+106887-11437</f>
        <v>164616</v>
      </c>
      <c r="Q15" s="23">
        <f>24549+26000-11755+110829</f>
        <v>149623</v>
      </c>
      <c r="R15" s="23">
        <f>20172+68100-5993+110330</f>
        <v>192609</v>
      </c>
      <c r="S15" s="23">
        <f>85273+29400-9333+103692</f>
        <v>209032</v>
      </c>
      <c r="T15" s="23">
        <f>23726+7000-6811+98493</f>
        <v>122408</v>
      </c>
      <c r="U15" s="23">
        <f>42031+6000-2000+85111</f>
        <v>131142</v>
      </c>
      <c r="V15" s="23">
        <f>30465+36400-7760+74670</f>
        <v>133775</v>
      </c>
      <c r="W15" s="23">
        <f>70460+52200+86630-12715</f>
        <v>196575</v>
      </c>
      <c r="X15" s="23">
        <f>45146+33400-8492+75669.5</f>
        <v>145723.5</v>
      </c>
      <c r="Y15" s="23">
        <f>32995+74400+95375-9251</f>
        <v>193519</v>
      </c>
      <c r="Z15" s="23">
        <f>20757.98+10600+100990-12280</f>
        <v>120067.98000000001</v>
      </c>
      <c r="AA15" s="23">
        <f>86580+34800+97106-8275</f>
        <v>210211</v>
      </c>
      <c r="AB15" s="23">
        <f>66860+52000+63600-15960</f>
        <v>166500</v>
      </c>
      <c r="AC15" s="23">
        <f>66630+38000+93491-10525</f>
        <v>187596</v>
      </c>
      <c r="AD15" s="23">
        <f>68995+17000+81821+509-18530</f>
        <v>149795</v>
      </c>
      <c r="AE15" s="23"/>
      <c r="AF15" s="23"/>
      <c r="AG15" s="23"/>
    </row>
    <row r="16" spans="1:33">
      <c r="A16" s="16" t="s">
        <v>16</v>
      </c>
      <c r="B16" s="23">
        <f t="shared" si="10"/>
        <v>6829270.1499999994</v>
      </c>
      <c r="C16" s="23">
        <f>28400+115192.88+15600+1199</f>
        <v>160391.88</v>
      </c>
      <c r="D16" s="23">
        <f>96887+124792.67+19740+48360+5584+2010</f>
        <v>297373.67</v>
      </c>
      <c r="E16" s="23">
        <f>28456+94184.08+2409+2632</f>
        <v>127681.08</v>
      </c>
      <c r="F16" s="23">
        <f>109200+259487.04+26990.25+1954+1753</f>
        <v>399384.29000000004</v>
      </c>
      <c r="G16" s="23">
        <f>10400+84794+1567+2450</f>
        <v>99211</v>
      </c>
      <c r="H16" s="23">
        <f>126013+25532.96+6300+5200+2522+1558</f>
        <v>167125.96</v>
      </c>
      <c r="I16" s="23">
        <f>43839+167581+2229+1398</f>
        <v>215047</v>
      </c>
      <c r="J16" s="23">
        <f>103000+341129.76+1019+1482+35200</f>
        <v>481830.76</v>
      </c>
      <c r="K16" s="23">
        <f>46500+174983.12+1000+525+1119</f>
        <v>224127.12</v>
      </c>
      <c r="L16" s="23">
        <f>74503+110318.96+121198+26500+3973+2890</f>
        <v>339382.96</v>
      </c>
      <c r="M16" s="23">
        <f>77700+116143.28+7067+3220</f>
        <v>204130.28</v>
      </c>
      <c r="N16" s="23">
        <f>89500+189019.65+509+2233+3400</f>
        <v>284661.65000000002</v>
      </c>
      <c r="O16" s="23">
        <f>57842+14750+17792.25+17100+4500+3704.4+7628+1420</f>
        <v>124736.65</v>
      </c>
      <c r="P16" s="23">
        <f>90109.68+9125+23400+1720+3373</f>
        <v>127727.67999999999</v>
      </c>
      <c r="Q16" s="23">
        <f>68650+84286.56+1394.4+7900+1437+1908</f>
        <v>165575.96</v>
      </c>
      <c r="R16" s="23">
        <f>53900+352980.72+6800+4316+960</f>
        <v>418956.72</v>
      </c>
      <c r="S16" s="23">
        <f>125600+116822.77+13500+5382+2846</f>
        <v>264150.77</v>
      </c>
      <c r="T16" s="23">
        <f>85000+130307.28+22400+9520+756</f>
        <v>247983.28</v>
      </c>
      <c r="U16" s="23">
        <f>60975+36478.88+5966</f>
        <v>103419.88</v>
      </c>
      <c r="V16" s="23">
        <f>60800+322400.56+2600+2414+2535</f>
        <v>390749.56</v>
      </c>
      <c r="W16" s="23">
        <f>84100+226391.84+29200+8873+1984</f>
        <v>350548.83999999997</v>
      </c>
      <c r="X16" s="23">
        <f>101698.4+110092.23+1000+1000+1219+4307</f>
        <v>219316.63</v>
      </c>
      <c r="Y16" s="23">
        <f>61450+118747.23+4900+1165+2364+3322</f>
        <v>191948.22999999998</v>
      </c>
      <c r="Z16" s="23">
        <f>77135+145201.44+7800+4263+3927</f>
        <v>238326.44</v>
      </c>
      <c r="AA16" s="23">
        <f>130950+102710.77+828+2403</f>
        <v>236891.77000000002</v>
      </c>
      <c r="AB16" s="23">
        <f>66500+147722.73+28900+23400+2058+4663</f>
        <v>273243.73</v>
      </c>
      <c r="AC16" s="23">
        <f>45900+142728.67+1000+1522+2149</f>
        <v>193299.67</v>
      </c>
      <c r="AD16" s="23">
        <f>28210+178829.74+1657.95+57600+7800+5380+2569</f>
        <v>282046.69</v>
      </c>
      <c r="AE16" s="23"/>
      <c r="AF16" s="23"/>
      <c r="AG16" s="23"/>
    </row>
    <row r="17" spans="1:33">
      <c r="A17" s="16" t="s">
        <v>17</v>
      </c>
      <c r="B17" s="23">
        <f t="shared" si="10"/>
        <v>580600</v>
      </c>
      <c r="C17" s="23">
        <v>13800</v>
      </c>
      <c r="D17" s="23">
        <v>27300</v>
      </c>
      <c r="E17" s="23"/>
      <c r="F17" s="23">
        <v>40300</v>
      </c>
      <c r="G17" s="23"/>
      <c r="H17" s="23"/>
      <c r="I17" s="23"/>
      <c r="J17" s="23">
        <v>48800</v>
      </c>
      <c r="K17" s="23">
        <v>126400</v>
      </c>
      <c r="L17" s="23"/>
      <c r="M17" s="23"/>
      <c r="N17" s="23"/>
      <c r="O17" s="23">
        <v>27700</v>
      </c>
      <c r="P17" s="23">
        <v>2500</v>
      </c>
      <c r="Q17" s="23">
        <v>15000</v>
      </c>
      <c r="R17" s="23">
        <v>56600</v>
      </c>
      <c r="S17" s="23">
        <v>47800</v>
      </c>
      <c r="T17" s="23">
        <v>18400</v>
      </c>
      <c r="U17" s="23">
        <v>4200</v>
      </c>
      <c r="V17" s="23">
        <v>4200</v>
      </c>
      <c r="W17" s="23">
        <v>27400</v>
      </c>
      <c r="X17" s="23">
        <v>9900</v>
      </c>
      <c r="Y17" s="23">
        <v>11500</v>
      </c>
      <c r="Z17" s="23"/>
      <c r="AA17" s="23">
        <v>35100</v>
      </c>
      <c r="AB17" s="23">
        <v>22100</v>
      </c>
      <c r="AC17" s="23">
        <v>41600</v>
      </c>
      <c r="AD17" s="23"/>
      <c r="AE17" s="23"/>
      <c r="AF17" s="23"/>
      <c r="AG17" s="23"/>
    </row>
    <row r="18" spans="1:33">
      <c r="A18" s="16" t="s">
        <v>18</v>
      </c>
      <c r="B18" s="23">
        <f t="shared" si="10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10"/>
        <v>511822</v>
      </c>
      <c r="C19" s="23"/>
      <c r="D19" s="23"/>
      <c r="E19" s="23">
        <v>48500</v>
      </c>
      <c r="F19" s="23">
        <v>7800</v>
      </c>
      <c r="G19" s="23">
        <v>22204</v>
      </c>
      <c r="H19" s="23"/>
      <c r="I19" s="23">
        <v>20150</v>
      </c>
      <c r="J19" s="23"/>
      <c r="K19" s="23"/>
      <c r="L19" s="23">
        <v>6400</v>
      </c>
      <c r="M19" s="23">
        <v>13500</v>
      </c>
      <c r="N19" s="23"/>
      <c r="O19" s="23">
        <v>12600</v>
      </c>
      <c r="P19" s="23"/>
      <c r="Q19" s="23">
        <v>30943</v>
      </c>
      <c r="R19" s="23"/>
      <c r="S19" s="23">
        <v>129100</v>
      </c>
      <c r="T19" s="23">
        <v>16715</v>
      </c>
      <c r="U19" s="23">
        <v>12610</v>
      </c>
      <c r="V19" s="23">
        <v>58800</v>
      </c>
      <c r="W19" s="23">
        <v>44700</v>
      </c>
      <c r="X19" s="23">
        <v>2000</v>
      </c>
      <c r="Y19" s="23">
        <v>15600</v>
      </c>
      <c r="Z19" s="23"/>
      <c r="AA19" s="23">
        <v>57200</v>
      </c>
      <c r="AB19" s="23">
        <v>7800</v>
      </c>
      <c r="AC19" s="23">
        <v>5200</v>
      </c>
      <c r="AD19" s="23"/>
      <c r="AE19" s="23"/>
      <c r="AF19" s="23"/>
      <c r="AG19" s="23"/>
    </row>
    <row r="20" spans="1:33">
      <c r="A20" s="16" t="s">
        <v>20</v>
      </c>
      <c r="B20" s="23">
        <f t="shared" si="10"/>
        <v>138652.5</v>
      </c>
      <c r="C20" s="23">
        <v>38499.050000000003</v>
      </c>
      <c r="D20" s="23">
        <v>21660.03</v>
      </c>
      <c r="E20" s="23"/>
      <c r="F20" s="23"/>
      <c r="G20" s="23"/>
      <c r="H20" s="23"/>
      <c r="I20" s="23"/>
      <c r="J20" s="23">
        <v>19253.36</v>
      </c>
      <c r="K20" s="23">
        <v>4813.34</v>
      </c>
      <c r="L20" s="23"/>
      <c r="M20" s="23"/>
      <c r="N20" s="23">
        <v>33693.379999999997</v>
      </c>
      <c r="O20" s="23"/>
      <c r="P20" s="23"/>
      <c r="Q20" s="23"/>
      <c r="R20" s="23"/>
      <c r="S20" s="23"/>
      <c r="T20" s="23"/>
      <c r="U20" s="23"/>
      <c r="V20" s="23"/>
      <c r="W20" s="23">
        <v>20733.34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10"/>
        <v>690603</v>
      </c>
      <c r="C21" s="23">
        <v>32788</v>
      </c>
      <c r="D21" s="23">
        <v>24516</v>
      </c>
      <c r="E21" s="23"/>
      <c r="F21" s="23"/>
      <c r="G21" s="23">
        <v>33044</v>
      </c>
      <c r="H21" s="23">
        <v>24516</v>
      </c>
      <c r="I21" s="23">
        <v>27477</v>
      </c>
      <c r="J21" s="23"/>
      <c r="K21" s="23">
        <v>9256</v>
      </c>
      <c r="L21" s="23"/>
      <c r="M21" s="23"/>
      <c r="N21" s="23"/>
      <c r="O21" s="23">
        <v>53304</v>
      </c>
      <c r="P21" s="23">
        <v>61906</v>
      </c>
      <c r="Q21" s="23">
        <v>109220</v>
      </c>
      <c r="R21" s="23"/>
      <c r="S21" s="23">
        <v>2314</v>
      </c>
      <c r="T21" s="23">
        <v>23100</v>
      </c>
      <c r="U21" s="23">
        <v>29213</v>
      </c>
      <c r="V21" s="23"/>
      <c r="W21" s="23">
        <v>54340</v>
      </c>
      <c r="X21" s="23">
        <v>18616</v>
      </c>
      <c r="Y21" s="23">
        <v>17220</v>
      </c>
      <c r="Z21" s="23">
        <v>28600</v>
      </c>
      <c r="AA21" s="23"/>
      <c r="AB21" s="23">
        <v>48868</v>
      </c>
      <c r="AC21" s="23"/>
      <c r="AD21" s="23">
        <v>92305</v>
      </c>
      <c r="AE21" s="23"/>
      <c r="AF21" s="23"/>
      <c r="AG21" s="23"/>
    </row>
    <row r="22" spans="1:33">
      <c r="A22" s="16" t="s">
        <v>22</v>
      </c>
      <c r="B22" s="23">
        <f t="shared" si="10"/>
        <v>603.5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>
        <v>603.5</v>
      </c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10"/>
        <v>-4022</v>
      </c>
      <c r="C23" s="24">
        <f>-82400.05+164380.04</f>
        <v>81979.990000000005</v>
      </c>
      <c r="D23" s="24">
        <f>-127720.03+107840.02</f>
        <v>-19880.009999999995</v>
      </c>
      <c r="E23" s="24">
        <f>-67900+90540.02</f>
        <v>22640.020000000004</v>
      </c>
      <c r="F23" s="24">
        <f>-169840+140840</f>
        <v>-29000</v>
      </c>
      <c r="G23" s="24">
        <f>-87704+49600</f>
        <v>-38104</v>
      </c>
      <c r="H23" s="24">
        <f>-61100+68700</f>
        <v>7600</v>
      </c>
      <c r="I23" s="24">
        <f>-20150-147350+71200</f>
        <v>-96300</v>
      </c>
      <c r="J23" s="24">
        <f>-126153.36+142953.36</f>
        <v>16799.999999999985</v>
      </c>
      <c r="K23" s="24">
        <f>-227500+259300</f>
        <v>31800</v>
      </c>
      <c r="L23" s="24">
        <f>-209298+188898</f>
        <v>-20400</v>
      </c>
      <c r="M23" s="24">
        <f>-65600+96000</f>
        <v>30400</v>
      </c>
      <c r="N23" s="24">
        <f>-153793.38+167893.38</f>
        <v>14100</v>
      </c>
      <c r="O23" s="24">
        <f>-39900+71100</f>
        <v>31200</v>
      </c>
      <c r="P23" s="24">
        <f>-95225+226235</f>
        <v>131010</v>
      </c>
      <c r="Q23" s="24">
        <f>-69343+38900</f>
        <v>-30443</v>
      </c>
      <c r="R23" s="24">
        <f>-179300+131500</f>
        <v>-47800</v>
      </c>
      <c r="S23" s="24">
        <f>-281200+239200-9800</f>
        <v>-51800</v>
      </c>
      <c r="T23" s="24">
        <f>-126215+140400-2900</f>
        <v>11285</v>
      </c>
      <c r="U23" s="24">
        <f>-21410+15200</f>
        <v>-6210</v>
      </c>
      <c r="V23" s="24">
        <f>-115400+68400</f>
        <v>-47000</v>
      </c>
      <c r="W23" s="24">
        <f>-185840.02+112940.02</f>
        <v>-72899.999999999985</v>
      </c>
      <c r="X23" s="24">
        <f>-11340-89896.8+181196.8</f>
        <v>79959.999999999985</v>
      </c>
      <c r="Y23" s="24">
        <f>-117600+106900</f>
        <v>-10700</v>
      </c>
      <c r="Z23" s="24">
        <f>-56260+131560</f>
        <v>75300</v>
      </c>
      <c r="AA23" s="24">
        <f>+-166130+121630</f>
        <v>-44500</v>
      </c>
      <c r="AB23" s="24">
        <f>+-81800+34400</f>
        <v>-47400</v>
      </c>
      <c r="AC23" s="24">
        <f>+-5760-120900+148300</f>
        <v>21640</v>
      </c>
      <c r="AD23" s="24">
        <f>-160725+163425</f>
        <v>2700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13380347.34</v>
      </c>
      <c r="C24" s="19">
        <f>SUM(C15:C23)</f>
        <v>435942.92</v>
      </c>
      <c r="D24" s="19">
        <f t="shared" ref="D24:U24" si="11">SUM(D15:D23)</f>
        <v>495587.68999999994</v>
      </c>
      <c r="E24" s="19">
        <f t="shared" si="11"/>
        <v>393443.10000000003</v>
      </c>
      <c r="F24" s="19">
        <f t="shared" si="11"/>
        <v>593830.29</v>
      </c>
      <c r="G24" s="19">
        <f t="shared" si="11"/>
        <v>379569</v>
      </c>
      <c r="H24" s="19">
        <f t="shared" si="11"/>
        <v>327313.95999999996</v>
      </c>
      <c r="I24" s="19">
        <f t="shared" si="11"/>
        <v>335702</v>
      </c>
      <c r="J24" s="19">
        <f t="shared" si="11"/>
        <v>747723.12</v>
      </c>
      <c r="K24" s="19">
        <f t="shared" si="11"/>
        <v>553260.17000000004</v>
      </c>
      <c r="L24" s="19">
        <f t="shared" si="11"/>
        <v>454612.96</v>
      </c>
      <c r="M24" s="19">
        <f t="shared" si="11"/>
        <v>439218.78</v>
      </c>
      <c r="N24" s="19">
        <f t="shared" si="11"/>
        <v>518783.03</v>
      </c>
      <c r="O24" s="19">
        <f t="shared" si="11"/>
        <v>381436.65</v>
      </c>
      <c r="P24" s="19">
        <f t="shared" si="11"/>
        <v>487759.68</v>
      </c>
      <c r="Q24" s="19">
        <f t="shared" si="11"/>
        <v>439918.95999999996</v>
      </c>
      <c r="R24" s="19">
        <f t="shared" si="11"/>
        <v>620365.72</v>
      </c>
      <c r="S24" s="19">
        <f t="shared" si="11"/>
        <v>600596.77</v>
      </c>
      <c r="T24" s="19">
        <f t="shared" si="11"/>
        <v>439891.28</v>
      </c>
      <c r="U24" s="19">
        <f t="shared" si="11"/>
        <v>274374.88</v>
      </c>
      <c r="V24" s="19">
        <f t="shared" ref="V24:AG24" si="12">SUM(V15:V23)</f>
        <v>540524.56000000006</v>
      </c>
      <c r="W24" s="19">
        <f t="shared" si="12"/>
        <v>621397.17999999993</v>
      </c>
      <c r="X24" s="19">
        <f t="shared" si="12"/>
        <v>475516.13</v>
      </c>
      <c r="Y24" s="19">
        <f t="shared" si="12"/>
        <v>419087.23</v>
      </c>
      <c r="Z24" s="19">
        <f t="shared" si="12"/>
        <v>462294.42000000004</v>
      </c>
      <c r="AA24" s="19">
        <f t="shared" si="12"/>
        <v>494902.77</v>
      </c>
      <c r="AB24" s="19">
        <f t="shared" si="12"/>
        <v>471111.73</v>
      </c>
      <c r="AC24" s="19">
        <f t="shared" si="12"/>
        <v>449335.67000000004</v>
      </c>
      <c r="AD24" s="19">
        <f>SUM(AD15:AD23)</f>
        <v>526846.68999999994</v>
      </c>
      <c r="AE24" s="19">
        <f t="shared" si="12"/>
        <v>0</v>
      </c>
      <c r="AF24" s="19">
        <f t="shared" si="12"/>
        <v>0</v>
      </c>
      <c r="AG24" s="19">
        <f t="shared" si="12"/>
        <v>0</v>
      </c>
    </row>
    <row r="25" spans="1:33" ht="20.100000000000001" customHeight="1" thickBot="1">
      <c r="A25" s="11" t="s">
        <v>24</v>
      </c>
      <c r="B25" s="20">
        <f>B10+B14-B24</f>
        <v>131176.76999999955</v>
      </c>
      <c r="C25" s="20">
        <f>C10+C14-C24</f>
        <v>-243982.09999999998</v>
      </c>
      <c r="D25" s="20">
        <f t="shared" ref="D25:AB25" si="13">D10+D14-D24</f>
        <v>-255033.5799999999</v>
      </c>
      <c r="E25" s="20">
        <f t="shared" si="13"/>
        <v>-152312.33999999991</v>
      </c>
      <c r="F25" s="20">
        <f t="shared" si="13"/>
        <v>-308863.11999999994</v>
      </c>
      <c r="G25" s="20">
        <f t="shared" si="13"/>
        <v>-239970.48999999993</v>
      </c>
      <c r="H25" s="20">
        <f t="shared" si="13"/>
        <v>-62270.979999999923</v>
      </c>
      <c r="I25" s="20">
        <f t="shared" si="13"/>
        <v>71114.870000000054</v>
      </c>
      <c r="J25" s="20">
        <f t="shared" si="13"/>
        <v>-207138.71999999986</v>
      </c>
      <c r="K25" s="20">
        <f t="shared" si="13"/>
        <v>-287810.12999999989</v>
      </c>
      <c r="L25" s="20">
        <f t="shared" si="13"/>
        <v>-239884.89999999991</v>
      </c>
      <c r="M25" s="20">
        <f t="shared" si="13"/>
        <v>-160515.66999999993</v>
      </c>
      <c r="N25" s="20">
        <f t="shared" si="13"/>
        <v>-181244.15999999997</v>
      </c>
      <c r="O25" s="20">
        <f t="shared" si="13"/>
        <v>-57068.69</v>
      </c>
      <c r="P25" s="20">
        <f t="shared" si="13"/>
        <v>-54723.140000000014</v>
      </c>
      <c r="Q25" s="20">
        <f t="shared" si="13"/>
        <v>11648.090000000026</v>
      </c>
      <c r="R25" s="20">
        <f t="shared" si="13"/>
        <v>-102391.38999999996</v>
      </c>
      <c r="S25" s="20">
        <f t="shared" si="13"/>
        <v>-213971.55</v>
      </c>
      <c r="T25" s="20">
        <f t="shared" si="13"/>
        <v>-176631.79000000004</v>
      </c>
      <c r="U25" s="20">
        <f t="shared" si="13"/>
        <v>8859.6799999999348</v>
      </c>
      <c r="V25" s="20">
        <f t="shared" si="13"/>
        <v>-84876.770000000135</v>
      </c>
      <c r="W25" s="20">
        <f t="shared" si="13"/>
        <v>-235936.74000000005</v>
      </c>
      <c r="X25" s="20">
        <f t="shared" si="13"/>
        <v>-224410.14000000007</v>
      </c>
      <c r="Y25" s="20">
        <f t="shared" si="13"/>
        <v>-148080.00000000006</v>
      </c>
      <c r="Z25" s="20">
        <f t="shared" si="13"/>
        <v>-107247.62000000011</v>
      </c>
      <c r="AA25" s="20">
        <f t="shared" si="13"/>
        <v>-107191.12000000011</v>
      </c>
      <c r="AB25" s="20">
        <f t="shared" si="13"/>
        <v>-112972.50000000012</v>
      </c>
      <c r="AC25" s="20">
        <f>AC10+AC14-AC24</f>
        <v>-66120.730000000156</v>
      </c>
      <c r="AD25" s="20">
        <f>AD10+AD14-AD24</f>
        <v>-164503.00000000012</v>
      </c>
      <c r="AE25" s="20">
        <f>AE10+AE14-AE24</f>
        <v>-164503.00000000012</v>
      </c>
      <c r="AF25" s="20">
        <f>AF10+AF14-AF24</f>
        <v>-164503.00000000012</v>
      </c>
      <c r="AG25" s="20">
        <f>AG10+AG14-AG24</f>
        <v>-164503.00000000012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35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v>30</v>
      </c>
      <c r="C3" s="27">
        <v>30</v>
      </c>
      <c r="D3" s="27">
        <v>30</v>
      </c>
      <c r="E3" s="27">
        <v>30</v>
      </c>
      <c r="F3" s="27">
        <v>30</v>
      </c>
      <c r="G3" s="27">
        <v>30</v>
      </c>
      <c r="H3" s="27">
        <v>30</v>
      </c>
      <c r="I3" s="27">
        <v>30</v>
      </c>
      <c r="J3" s="27">
        <v>30</v>
      </c>
      <c r="K3" s="27">
        <v>30</v>
      </c>
      <c r="L3" s="27">
        <v>30</v>
      </c>
      <c r="M3" s="27">
        <v>30</v>
      </c>
      <c r="N3" s="27">
        <v>30</v>
      </c>
      <c r="O3" s="27">
        <v>30</v>
      </c>
      <c r="P3" s="27">
        <v>30</v>
      </c>
      <c r="Q3" s="27">
        <v>30</v>
      </c>
      <c r="R3" s="27">
        <v>30</v>
      </c>
      <c r="S3" s="27">
        <v>30</v>
      </c>
      <c r="T3" s="27">
        <v>30</v>
      </c>
      <c r="U3" s="27">
        <v>30</v>
      </c>
      <c r="V3" s="27">
        <v>30</v>
      </c>
      <c r="W3" s="27">
        <v>30</v>
      </c>
      <c r="X3" s="27">
        <v>30</v>
      </c>
      <c r="Y3" s="27">
        <v>30</v>
      </c>
      <c r="Z3" s="27">
        <v>30</v>
      </c>
      <c r="AA3" s="27">
        <v>30</v>
      </c>
      <c r="AB3" s="27">
        <v>30</v>
      </c>
      <c r="AC3" s="27">
        <v>30</v>
      </c>
      <c r="AD3" s="27">
        <v>30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30</v>
      </c>
      <c r="C5" s="5">
        <f t="shared" ref="C5:AG5" si="1">+C3-C4</f>
        <v>30</v>
      </c>
      <c r="D5" s="5">
        <f t="shared" si="1"/>
        <v>30</v>
      </c>
      <c r="E5" s="5">
        <f t="shared" si="1"/>
        <v>30</v>
      </c>
      <c r="F5" s="5">
        <f t="shared" si="1"/>
        <v>30</v>
      </c>
      <c r="G5" s="5">
        <f t="shared" si="1"/>
        <v>30</v>
      </c>
      <c r="H5" s="5">
        <f t="shared" si="1"/>
        <v>30</v>
      </c>
      <c r="I5" s="5">
        <f t="shared" si="1"/>
        <v>30</v>
      </c>
      <c r="J5" s="5">
        <f t="shared" si="1"/>
        <v>30</v>
      </c>
      <c r="K5" s="5">
        <f t="shared" si="1"/>
        <v>30</v>
      </c>
      <c r="L5" s="5">
        <f t="shared" si="1"/>
        <v>30</v>
      </c>
      <c r="M5" s="5">
        <f t="shared" si="1"/>
        <v>30</v>
      </c>
      <c r="N5" s="5">
        <f t="shared" si="1"/>
        <v>30</v>
      </c>
      <c r="O5" s="5">
        <f t="shared" si="1"/>
        <v>30</v>
      </c>
      <c r="P5" s="5">
        <f t="shared" si="1"/>
        <v>30</v>
      </c>
      <c r="Q5" s="5">
        <f t="shared" si="1"/>
        <v>30</v>
      </c>
      <c r="R5" s="5">
        <f t="shared" si="1"/>
        <v>30</v>
      </c>
      <c r="S5" s="5">
        <f t="shared" si="1"/>
        <v>30</v>
      </c>
      <c r="T5" s="5">
        <f t="shared" si="1"/>
        <v>30</v>
      </c>
      <c r="U5" s="5">
        <f t="shared" si="1"/>
        <v>30</v>
      </c>
      <c r="V5" s="5">
        <f t="shared" si="1"/>
        <v>30</v>
      </c>
      <c r="W5" s="5">
        <f t="shared" si="1"/>
        <v>30</v>
      </c>
      <c r="X5" s="5">
        <f t="shared" si="1"/>
        <v>30</v>
      </c>
      <c r="Y5" s="5">
        <f t="shared" si="1"/>
        <v>30</v>
      </c>
      <c r="Z5" s="5">
        <f t="shared" si="1"/>
        <v>30</v>
      </c>
      <c r="AA5" s="5">
        <f t="shared" si="1"/>
        <v>30</v>
      </c>
      <c r="AB5" s="5">
        <f t="shared" si="1"/>
        <v>30</v>
      </c>
      <c r="AC5" s="5">
        <f>+AC3-AC4</f>
        <v>30</v>
      </c>
      <c r="AD5" s="5">
        <f>+AD3-AD4</f>
        <v>30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775</v>
      </c>
      <c r="C6" s="34">
        <v>28</v>
      </c>
      <c r="D6" s="34">
        <v>29</v>
      </c>
      <c r="E6" s="34">
        <v>29</v>
      </c>
      <c r="F6" s="34">
        <v>28</v>
      </c>
      <c r="G6" s="34">
        <v>28</v>
      </c>
      <c r="H6" s="34">
        <v>28</v>
      </c>
      <c r="I6" s="34">
        <v>28</v>
      </c>
      <c r="J6" s="34">
        <v>29</v>
      </c>
      <c r="K6" s="34">
        <v>28</v>
      </c>
      <c r="L6" s="34">
        <v>29</v>
      </c>
      <c r="M6" s="34">
        <v>28</v>
      </c>
      <c r="N6" s="34">
        <v>27</v>
      </c>
      <c r="O6" s="34">
        <v>26</v>
      </c>
      <c r="P6" s="34">
        <v>26</v>
      </c>
      <c r="Q6" s="34">
        <v>27</v>
      </c>
      <c r="R6" s="34">
        <v>26</v>
      </c>
      <c r="S6" s="34">
        <v>28</v>
      </c>
      <c r="T6" s="34">
        <v>27</v>
      </c>
      <c r="U6" s="34">
        <v>27</v>
      </c>
      <c r="V6" s="34">
        <v>27</v>
      </c>
      <c r="W6" s="34">
        <v>26</v>
      </c>
      <c r="X6" s="34">
        <v>29</v>
      </c>
      <c r="Y6" s="34">
        <v>29</v>
      </c>
      <c r="Z6" s="34">
        <v>28</v>
      </c>
      <c r="AA6" s="34">
        <v>27</v>
      </c>
      <c r="AB6" s="34">
        <v>27</v>
      </c>
      <c r="AC6" s="34">
        <v>28</v>
      </c>
      <c r="AD6" s="34">
        <v>28</v>
      </c>
      <c r="AE6" s="34"/>
      <c r="AF6" s="34"/>
      <c r="AG6" s="34"/>
    </row>
    <row r="7" spans="1:33">
      <c r="A7" s="4" t="s">
        <v>4</v>
      </c>
      <c r="B7" s="7">
        <f>IF(B6=0,0,B6/B5)</f>
        <v>25.833333333333332</v>
      </c>
      <c r="C7" s="7">
        <f t="shared" ref="C7:AG7" si="2">IF(C6=0,0,C6/C5)</f>
        <v>0.93333333333333335</v>
      </c>
      <c r="D7" s="7">
        <f t="shared" si="2"/>
        <v>0.96666666666666667</v>
      </c>
      <c r="E7" s="7">
        <f t="shared" si="2"/>
        <v>0.96666666666666667</v>
      </c>
      <c r="F7" s="7">
        <f t="shared" si="2"/>
        <v>0.93333333333333335</v>
      </c>
      <c r="G7" s="7">
        <f t="shared" si="2"/>
        <v>0.93333333333333335</v>
      </c>
      <c r="H7" s="7">
        <f t="shared" si="2"/>
        <v>0.93333333333333335</v>
      </c>
      <c r="I7" s="7">
        <f t="shared" si="2"/>
        <v>0.93333333333333335</v>
      </c>
      <c r="J7" s="7">
        <f t="shared" si="2"/>
        <v>0.96666666666666667</v>
      </c>
      <c r="K7" s="7">
        <f t="shared" si="2"/>
        <v>0.93333333333333335</v>
      </c>
      <c r="L7" s="7">
        <f t="shared" si="2"/>
        <v>0.96666666666666667</v>
      </c>
      <c r="M7" s="7">
        <f t="shared" si="2"/>
        <v>0.93333333333333335</v>
      </c>
      <c r="N7" s="7">
        <f t="shared" si="2"/>
        <v>0.9</v>
      </c>
      <c r="O7" s="7">
        <f t="shared" si="2"/>
        <v>0.8666666666666667</v>
      </c>
      <c r="P7" s="7">
        <f t="shared" si="2"/>
        <v>0.8666666666666667</v>
      </c>
      <c r="Q7" s="7">
        <f t="shared" si="2"/>
        <v>0.9</v>
      </c>
      <c r="R7" s="7">
        <f t="shared" si="2"/>
        <v>0.8666666666666667</v>
      </c>
      <c r="S7" s="7">
        <f t="shared" si="2"/>
        <v>0.93333333333333335</v>
      </c>
      <c r="T7" s="7">
        <f t="shared" si="2"/>
        <v>0.9</v>
      </c>
      <c r="U7" s="7">
        <f t="shared" si="2"/>
        <v>0.9</v>
      </c>
      <c r="V7" s="7">
        <f t="shared" si="2"/>
        <v>0.9</v>
      </c>
      <c r="W7" s="7">
        <f t="shared" si="2"/>
        <v>0.8666666666666667</v>
      </c>
      <c r="X7" s="7">
        <f t="shared" si="2"/>
        <v>0.96666666666666667</v>
      </c>
      <c r="Y7" s="7">
        <f t="shared" si="2"/>
        <v>0.96666666666666667</v>
      </c>
      <c r="Z7" s="7">
        <f t="shared" si="2"/>
        <v>0.93333333333333335</v>
      </c>
      <c r="AA7" s="7">
        <f t="shared" si="2"/>
        <v>0.9</v>
      </c>
      <c r="AB7" s="7">
        <f t="shared" si="2"/>
        <v>0.9</v>
      </c>
      <c r="AC7" s="7">
        <f t="shared" si="2"/>
        <v>0.93333333333333335</v>
      </c>
      <c r="AD7" s="7">
        <f t="shared" si="2"/>
        <v>0.93333333333333335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449.06900645161272</v>
      </c>
      <c r="C8" s="6">
        <f t="shared" ref="C8:AG8" si="3">IF(C6=0,0,C11/C6)</f>
        <v>435.70821428571429</v>
      </c>
      <c r="D8" s="6">
        <f t="shared" si="3"/>
        <v>435.62620689655171</v>
      </c>
      <c r="E8" s="6">
        <f t="shared" si="3"/>
        <v>463.21241379310345</v>
      </c>
      <c r="F8" s="6">
        <f t="shared" si="3"/>
        <v>454.7557142857143</v>
      </c>
      <c r="G8" s="6">
        <f t="shared" si="3"/>
        <v>454.7557142857143</v>
      </c>
      <c r="H8" s="6">
        <f t="shared" si="3"/>
        <v>433.32714285714286</v>
      </c>
      <c r="I8" s="6">
        <f t="shared" si="3"/>
        <v>426.18428571428569</v>
      </c>
      <c r="J8" s="6">
        <f t="shared" si="3"/>
        <v>425.28137931034485</v>
      </c>
      <c r="K8" s="6">
        <f t="shared" si="3"/>
        <v>415.46999999999997</v>
      </c>
      <c r="L8" s="6">
        <f t="shared" si="3"/>
        <v>414.93655172413793</v>
      </c>
      <c r="M8" s="6">
        <f t="shared" si="3"/>
        <v>444.04142857142858</v>
      </c>
      <c r="N8" s="6">
        <f t="shared" si="3"/>
        <v>474.06777777777779</v>
      </c>
      <c r="O8" s="6">
        <f t="shared" si="3"/>
        <v>496.14730769230766</v>
      </c>
      <c r="P8" s="6">
        <f t="shared" si="3"/>
        <v>476.91653846153844</v>
      </c>
      <c r="Q8" s="6">
        <f t="shared" si="3"/>
        <v>488.88259259259257</v>
      </c>
      <c r="R8" s="6">
        <f t="shared" si="3"/>
        <v>507.68576923076921</v>
      </c>
      <c r="S8" s="6">
        <f t="shared" si="3"/>
        <v>478.56535714285712</v>
      </c>
      <c r="T8" s="6">
        <f t="shared" si="3"/>
        <v>425.91962962962964</v>
      </c>
      <c r="U8" s="6">
        <f t="shared" si="3"/>
        <v>425.91962962962964</v>
      </c>
      <c r="V8" s="6">
        <f t="shared" si="3"/>
        <v>454.31444444444446</v>
      </c>
      <c r="W8" s="6">
        <f t="shared" si="3"/>
        <v>471.78807692307691</v>
      </c>
      <c r="X8" s="6">
        <f t="shared" si="3"/>
        <v>447.12034482758622</v>
      </c>
      <c r="Y8" s="6">
        <f t="shared" si="3"/>
        <v>488.49965517241378</v>
      </c>
      <c r="Z8" s="6">
        <f t="shared" si="3"/>
        <v>434.51749999999998</v>
      </c>
      <c r="AA8" s="6">
        <f t="shared" si="3"/>
        <v>420.98111111111109</v>
      </c>
      <c r="AB8" s="6">
        <f t="shared" si="3"/>
        <v>420.98111111111109</v>
      </c>
      <c r="AC8" s="6">
        <f t="shared" si="3"/>
        <v>434.51749999999998</v>
      </c>
      <c r="AD8" s="6">
        <f t="shared" si="3"/>
        <v>434.51749999999998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11600.949333333328</v>
      </c>
      <c r="C9" s="6">
        <f t="shared" ref="C9:AG9" si="4">IF(C11=0,0,C11/C3)</f>
        <v>406.661</v>
      </c>
      <c r="D9" s="6">
        <f t="shared" si="4"/>
        <v>421.10533333333331</v>
      </c>
      <c r="E9" s="6">
        <f t="shared" si="4"/>
        <v>447.77199999999999</v>
      </c>
      <c r="F9" s="6">
        <f t="shared" si="4"/>
        <v>424.43866666666668</v>
      </c>
      <c r="G9" s="6">
        <f t="shared" si="4"/>
        <v>424.43866666666668</v>
      </c>
      <c r="H9" s="6">
        <f t="shared" si="4"/>
        <v>404.43866666666668</v>
      </c>
      <c r="I9" s="6">
        <f t="shared" si="4"/>
        <v>397.77199999999999</v>
      </c>
      <c r="J9" s="6">
        <f t="shared" si="4"/>
        <v>411.10533333333331</v>
      </c>
      <c r="K9" s="6">
        <f t="shared" si="4"/>
        <v>387.77199999999999</v>
      </c>
      <c r="L9" s="6">
        <f t="shared" si="4"/>
        <v>401.10533333333331</v>
      </c>
      <c r="M9" s="6">
        <f t="shared" si="4"/>
        <v>414.43866666666668</v>
      </c>
      <c r="N9" s="6">
        <f t="shared" si="4"/>
        <v>426.661</v>
      </c>
      <c r="O9" s="6">
        <f t="shared" si="4"/>
        <v>429.99433333333332</v>
      </c>
      <c r="P9" s="6">
        <f t="shared" si="4"/>
        <v>413.32766666666669</v>
      </c>
      <c r="Q9" s="6">
        <f t="shared" si="4"/>
        <v>439.99433333333332</v>
      </c>
      <c r="R9" s="6">
        <f t="shared" si="4"/>
        <v>439.99433333333332</v>
      </c>
      <c r="S9" s="6">
        <f t="shared" si="4"/>
        <v>446.661</v>
      </c>
      <c r="T9" s="6">
        <f t="shared" si="4"/>
        <v>383.32766666666669</v>
      </c>
      <c r="U9" s="6">
        <f t="shared" si="4"/>
        <v>383.32766666666669</v>
      </c>
      <c r="V9" s="6">
        <f t="shared" si="4"/>
        <v>408.88299999999998</v>
      </c>
      <c r="W9" s="6">
        <f t="shared" si="4"/>
        <v>408.88299999999998</v>
      </c>
      <c r="X9" s="6">
        <f t="shared" si="4"/>
        <v>432.21633333333335</v>
      </c>
      <c r="Y9" s="6">
        <f t="shared" si="4"/>
        <v>472.21633333333335</v>
      </c>
      <c r="Z9" s="6">
        <f t="shared" si="4"/>
        <v>405.54966666666667</v>
      </c>
      <c r="AA9" s="6">
        <f t="shared" si="4"/>
        <v>378.88299999999998</v>
      </c>
      <c r="AB9" s="6">
        <f t="shared" si="4"/>
        <v>378.88299999999998</v>
      </c>
      <c r="AC9" s="6">
        <f t="shared" si="4"/>
        <v>405.54966666666667</v>
      </c>
      <c r="AD9" s="6">
        <f t="shared" si="4"/>
        <v>405.54966666666667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-44330.15</v>
      </c>
      <c r="D10" s="29">
        <f>C25</f>
        <v>-32130.32</v>
      </c>
      <c r="E10" s="29">
        <f t="shared" ref="E10:AG10" si="5">D25</f>
        <v>-62597.16</v>
      </c>
      <c r="F10" s="29">
        <f t="shared" si="5"/>
        <v>-63564</v>
      </c>
      <c r="G10" s="29">
        <f t="shared" si="5"/>
        <v>-52230.84</v>
      </c>
      <c r="H10" s="29">
        <f t="shared" si="5"/>
        <v>-60497.679999999993</v>
      </c>
      <c r="I10" s="29">
        <f t="shared" si="5"/>
        <v>-48564.51999999999</v>
      </c>
      <c r="J10" s="29">
        <f t="shared" si="5"/>
        <v>-60631.359999999986</v>
      </c>
      <c r="K10" s="29">
        <f t="shared" si="5"/>
        <v>-63298.199999999983</v>
      </c>
      <c r="L10" s="29">
        <f t="shared" si="5"/>
        <v>-63665.039999999979</v>
      </c>
      <c r="M10" s="29">
        <f t="shared" si="5"/>
        <v>-61631.879999999976</v>
      </c>
      <c r="N10" s="29">
        <f t="shared" si="5"/>
        <v>-50998.719999999972</v>
      </c>
      <c r="O10" s="29">
        <f t="shared" si="5"/>
        <v>-55331.929999999971</v>
      </c>
      <c r="P10" s="29">
        <f t="shared" si="5"/>
        <v>-43332.099999999969</v>
      </c>
      <c r="Q10" s="29">
        <f t="shared" si="5"/>
        <v>-32332.269999999968</v>
      </c>
      <c r="R10" s="29">
        <f t="shared" si="5"/>
        <v>-25032.439999999966</v>
      </c>
      <c r="S10" s="29">
        <f t="shared" si="5"/>
        <v>-14332.609999999966</v>
      </c>
      <c r="T10" s="29">
        <f t="shared" si="5"/>
        <v>-28366.109999999968</v>
      </c>
      <c r="U10" s="29">
        <f t="shared" si="5"/>
        <v>-18666.27999999997</v>
      </c>
      <c r="V10" s="29">
        <f t="shared" si="5"/>
        <v>-7966.4499999999698</v>
      </c>
      <c r="W10" s="29">
        <f t="shared" si="5"/>
        <v>-28432.999999999971</v>
      </c>
      <c r="X10" s="29">
        <f t="shared" si="5"/>
        <v>-17766.509999999973</v>
      </c>
      <c r="Y10" s="29">
        <f t="shared" si="5"/>
        <v>-15900.019999999973</v>
      </c>
      <c r="Z10" s="29">
        <f t="shared" si="5"/>
        <v>-4433.5299999999734</v>
      </c>
      <c r="AA10" s="29">
        <f t="shared" si="5"/>
        <v>-3667.0399999999736</v>
      </c>
      <c r="AB10" s="29">
        <f t="shared" si="5"/>
        <v>-6834.5499999999738</v>
      </c>
      <c r="AC10" s="29">
        <f t="shared" si="5"/>
        <v>4531.940000000026</v>
      </c>
      <c r="AD10" s="29">
        <f t="shared" si="5"/>
        <v>13764.430000000026</v>
      </c>
      <c r="AE10" s="29">
        <f t="shared" si="5"/>
        <v>25130.920000000027</v>
      </c>
      <c r="AF10" s="29">
        <f t="shared" si="5"/>
        <v>25130.920000000027</v>
      </c>
      <c r="AG10" s="29">
        <f t="shared" si="5"/>
        <v>25130.920000000027</v>
      </c>
    </row>
    <row r="11" spans="1:33">
      <c r="A11" s="4" t="s">
        <v>8</v>
      </c>
      <c r="B11" s="23">
        <f>SUM(C11:AG11)</f>
        <v>348028.47999999986</v>
      </c>
      <c r="C11" s="23">
        <v>12199.83</v>
      </c>
      <c r="D11" s="23">
        <v>12633.16</v>
      </c>
      <c r="E11" s="23">
        <v>13433.16</v>
      </c>
      <c r="F11" s="23">
        <v>12733.16</v>
      </c>
      <c r="G11" s="23">
        <v>12733.16</v>
      </c>
      <c r="H11" s="23">
        <v>12133.16</v>
      </c>
      <c r="I11" s="23">
        <v>11933.16</v>
      </c>
      <c r="J11" s="23">
        <v>12333.16</v>
      </c>
      <c r="K11" s="23">
        <v>11633.16</v>
      </c>
      <c r="L11" s="23">
        <v>12033.16</v>
      </c>
      <c r="M11" s="23">
        <v>12433.16</v>
      </c>
      <c r="N11" s="23">
        <v>12799.83</v>
      </c>
      <c r="O11" s="23">
        <v>12899.83</v>
      </c>
      <c r="P11" s="23">
        <v>12399.83</v>
      </c>
      <c r="Q11" s="23">
        <v>13199.83</v>
      </c>
      <c r="R11" s="23">
        <v>13199.83</v>
      </c>
      <c r="S11" s="23">
        <v>13399.83</v>
      </c>
      <c r="T11" s="23">
        <v>11499.83</v>
      </c>
      <c r="U11" s="23">
        <v>11499.83</v>
      </c>
      <c r="V11" s="23">
        <v>12266.49</v>
      </c>
      <c r="W11" s="23">
        <v>12266.49</v>
      </c>
      <c r="X11" s="23">
        <v>12966.49</v>
      </c>
      <c r="Y11" s="23">
        <v>14166.49</v>
      </c>
      <c r="Z11" s="23">
        <v>12166.49</v>
      </c>
      <c r="AA11" s="23">
        <v>11366.49</v>
      </c>
      <c r="AB11" s="23">
        <v>11366.49</v>
      </c>
      <c r="AC11" s="23">
        <v>12166.49</v>
      </c>
      <c r="AD11" s="23">
        <v>12166.49</v>
      </c>
      <c r="AE11" s="23"/>
      <c r="AF11" s="23"/>
      <c r="AG11" s="23"/>
    </row>
    <row r="12" spans="1:33">
      <c r="A12" s="4" t="s">
        <v>9</v>
      </c>
      <c r="B12" s="23">
        <f>SUM(C12:AG12)</f>
        <v>50</v>
      </c>
      <c r="C12" s="23"/>
      <c r="D12" s="23"/>
      <c r="E12" s="23"/>
      <c r="F12" s="23"/>
      <c r="G12" s="23"/>
      <c r="H12" s="23"/>
      <c r="I12" s="23"/>
      <c r="J12" s="23"/>
      <c r="K12" s="23">
        <v>50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6701.9200000000019</v>
      </c>
      <c r="C13" s="24"/>
      <c r="D13" s="24">
        <f>12233.16-D11</f>
        <v>-400</v>
      </c>
      <c r="E13" s="24"/>
      <c r="F13" s="24"/>
      <c r="G13" s="24">
        <f>13533.16-G11</f>
        <v>800</v>
      </c>
      <c r="H13" s="24">
        <f>13133.16-H11</f>
        <v>1000</v>
      </c>
      <c r="I13" s="24">
        <v>3600</v>
      </c>
      <c r="J13" s="24"/>
      <c r="K13" s="23">
        <f>11883.16-K11-K12</f>
        <v>200</v>
      </c>
      <c r="L13" s="23"/>
      <c r="M13" s="23"/>
      <c r="N13" s="23">
        <f>13800.79-N11</f>
        <v>1000.9600000000009</v>
      </c>
      <c r="O13" s="23"/>
      <c r="P13" s="23"/>
      <c r="Q13" s="23"/>
      <c r="R13" s="23"/>
      <c r="S13" s="23"/>
      <c r="T13" s="23"/>
      <c r="U13" s="23">
        <f>12399.83-U11</f>
        <v>900</v>
      </c>
      <c r="V13" s="23">
        <f>11767.45-V11-V12</f>
        <v>-499.03999999999905</v>
      </c>
      <c r="W13" s="23"/>
      <c r="X13" s="23"/>
      <c r="Y13" s="23">
        <f>13266.49-Y11</f>
        <v>-900</v>
      </c>
      <c r="Z13" s="23"/>
      <c r="AA13" s="23">
        <v>1000</v>
      </c>
      <c r="AB13" s="23"/>
      <c r="AC13" s="23"/>
      <c r="AD13" s="23">
        <f>12166.49-AD11</f>
        <v>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354780.39999999985</v>
      </c>
      <c r="C14" s="18">
        <f>SUM(C11:C13)</f>
        <v>12199.83</v>
      </c>
      <c r="D14" s="18">
        <f t="shared" ref="D14:AG14" si="6">SUM(D11:D13)</f>
        <v>12233.16</v>
      </c>
      <c r="E14" s="18">
        <f t="shared" si="6"/>
        <v>13433.16</v>
      </c>
      <c r="F14" s="18">
        <f t="shared" si="6"/>
        <v>12733.16</v>
      </c>
      <c r="G14" s="18">
        <f t="shared" si="6"/>
        <v>13533.16</v>
      </c>
      <c r="H14" s="18">
        <f t="shared" si="6"/>
        <v>13133.16</v>
      </c>
      <c r="I14" s="18">
        <f t="shared" si="6"/>
        <v>15533.16</v>
      </c>
      <c r="J14" s="18">
        <f t="shared" si="6"/>
        <v>12333.16</v>
      </c>
      <c r="K14" s="18">
        <f t="shared" si="6"/>
        <v>11883.16</v>
      </c>
      <c r="L14" s="18">
        <f t="shared" si="6"/>
        <v>12033.16</v>
      </c>
      <c r="M14" s="18">
        <f t="shared" si="6"/>
        <v>12433.16</v>
      </c>
      <c r="N14" s="18">
        <f t="shared" si="6"/>
        <v>13800.79</v>
      </c>
      <c r="O14" s="18">
        <f t="shared" si="6"/>
        <v>12899.83</v>
      </c>
      <c r="P14" s="18">
        <f t="shared" si="6"/>
        <v>12399.83</v>
      </c>
      <c r="Q14" s="18">
        <f t="shared" si="6"/>
        <v>13199.83</v>
      </c>
      <c r="R14" s="18">
        <f t="shared" si="6"/>
        <v>13199.83</v>
      </c>
      <c r="S14" s="18">
        <f t="shared" si="6"/>
        <v>13399.83</v>
      </c>
      <c r="T14" s="18">
        <f t="shared" si="6"/>
        <v>11499.83</v>
      </c>
      <c r="U14" s="18">
        <f t="shared" si="6"/>
        <v>12399.83</v>
      </c>
      <c r="V14" s="18">
        <f t="shared" si="6"/>
        <v>11767.45</v>
      </c>
      <c r="W14" s="18">
        <f t="shared" si="6"/>
        <v>12266.49</v>
      </c>
      <c r="X14" s="18">
        <f t="shared" si="6"/>
        <v>12966.49</v>
      </c>
      <c r="Y14" s="18">
        <f t="shared" si="6"/>
        <v>13266.49</v>
      </c>
      <c r="Z14" s="18">
        <f t="shared" si="6"/>
        <v>12166.49</v>
      </c>
      <c r="AA14" s="18">
        <f t="shared" si="6"/>
        <v>12366.49</v>
      </c>
      <c r="AB14" s="18">
        <f t="shared" si="6"/>
        <v>11366.49</v>
      </c>
      <c r="AC14" s="18">
        <f t="shared" si="6"/>
        <v>12166.49</v>
      </c>
      <c r="AD14" s="18">
        <f t="shared" si="6"/>
        <v>12166.49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257386</v>
      </c>
      <c r="C15" s="23"/>
      <c r="D15" s="23">
        <f>38200+4500</f>
        <v>42700</v>
      </c>
      <c r="E15" s="23">
        <v>14400</v>
      </c>
      <c r="F15" s="23">
        <v>1400</v>
      </c>
      <c r="G15" s="23">
        <v>21800</v>
      </c>
      <c r="H15" s="23">
        <v>1200</v>
      </c>
      <c r="I15" s="23">
        <v>24000</v>
      </c>
      <c r="J15" s="23">
        <f>12000+3000</f>
        <v>15000</v>
      </c>
      <c r="K15" s="23">
        <v>12250</v>
      </c>
      <c r="L15" s="23">
        <v>10000</v>
      </c>
      <c r="M15" s="23">
        <v>1800</v>
      </c>
      <c r="N15" s="23">
        <f>17134+1000</f>
        <v>18134</v>
      </c>
      <c r="O15" s="23">
        <v>900</v>
      </c>
      <c r="P15" s="23">
        <v>900</v>
      </c>
      <c r="Q15" s="23">
        <v>5900</v>
      </c>
      <c r="R15" s="23">
        <v>2500</v>
      </c>
      <c r="S15" s="23">
        <v>12700</v>
      </c>
      <c r="T15" s="23">
        <v>800</v>
      </c>
      <c r="U15" s="23">
        <v>800</v>
      </c>
      <c r="V15" s="23">
        <f>27734+4500</f>
        <v>32234</v>
      </c>
      <c r="W15" s="23">
        <v>800</v>
      </c>
      <c r="X15" s="23">
        <v>11100</v>
      </c>
      <c r="Y15" s="23">
        <v>1800</v>
      </c>
      <c r="Z15" s="23">
        <v>5000</v>
      </c>
      <c r="AA15" s="23">
        <v>15534</v>
      </c>
      <c r="AB15" s="23"/>
      <c r="AC15" s="23">
        <v>2934</v>
      </c>
      <c r="AD15" s="23">
        <v>800</v>
      </c>
      <c r="AE15" s="23"/>
      <c r="AF15" s="23"/>
      <c r="AG15" s="23"/>
    </row>
    <row r="16" spans="1:33">
      <c r="A16" s="16" t="s">
        <v>16</v>
      </c>
      <c r="B16" s="23">
        <f t="shared" si="7"/>
        <v>20333.330000000002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>
        <v>14733.33</v>
      </c>
      <c r="T16" s="23"/>
      <c r="U16" s="23"/>
      <c r="V16" s="23"/>
      <c r="W16" s="23"/>
      <c r="X16" s="23"/>
      <c r="Y16" s="23"/>
      <c r="Z16" s="23">
        <v>5600</v>
      </c>
      <c r="AA16" s="23"/>
      <c r="AB16" s="23"/>
      <c r="AC16" s="23"/>
      <c r="AD16" s="23"/>
      <c r="AE16" s="23"/>
      <c r="AF16" s="23"/>
      <c r="AG16" s="23"/>
    </row>
    <row r="17" spans="1:33">
      <c r="A17" s="16" t="s">
        <v>17</v>
      </c>
      <c r="B17" s="23">
        <f t="shared" si="7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4500</v>
      </c>
      <c r="C19" s="23"/>
      <c r="D19" s="23"/>
      <c r="E19" s="23"/>
      <c r="F19" s="23"/>
      <c r="G19" s="23"/>
      <c r="H19" s="23"/>
      <c r="I19" s="23">
        <v>3600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>
        <v>900</v>
      </c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1500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>
        <v>500</v>
      </c>
      <c r="Q21" s="23"/>
      <c r="R21" s="23"/>
      <c r="S21" s="23"/>
      <c r="T21" s="23">
        <v>1000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1600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>
        <v>800</v>
      </c>
      <c r="X23" s="24"/>
      <c r="Y23" s="24"/>
      <c r="Z23" s="24">
        <v>800</v>
      </c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285319.33</v>
      </c>
      <c r="C24" s="19">
        <f>SUM(C15:C23)</f>
        <v>0</v>
      </c>
      <c r="D24" s="19">
        <f t="shared" ref="D24:U24" si="8">SUM(D15:D23)</f>
        <v>42700</v>
      </c>
      <c r="E24" s="19">
        <f t="shared" si="8"/>
        <v>14400</v>
      </c>
      <c r="F24" s="19">
        <f t="shared" si="8"/>
        <v>1400</v>
      </c>
      <c r="G24" s="19">
        <f t="shared" si="8"/>
        <v>21800</v>
      </c>
      <c r="H24" s="19">
        <f t="shared" si="8"/>
        <v>1200</v>
      </c>
      <c r="I24" s="19">
        <f t="shared" si="8"/>
        <v>27600</v>
      </c>
      <c r="J24" s="19">
        <f t="shared" si="8"/>
        <v>15000</v>
      </c>
      <c r="K24" s="19">
        <f t="shared" si="8"/>
        <v>12250</v>
      </c>
      <c r="L24" s="19">
        <f t="shared" si="8"/>
        <v>10000</v>
      </c>
      <c r="M24" s="19">
        <f t="shared" si="8"/>
        <v>1800</v>
      </c>
      <c r="N24" s="19">
        <f t="shared" si="8"/>
        <v>18134</v>
      </c>
      <c r="O24" s="19">
        <f t="shared" si="8"/>
        <v>900</v>
      </c>
      <c r="P24" s="19">
        <f t="shared" si="8"/>
        <v>1400</v>
      </c>
      <c r="Q24" s="19">
        <f t="shared" si="8"/>
        <v>5900</v>
      </c>
      <c r="R24" s="19">
        <f t="shared" si="8"/>
        <v>2500</v>
      </c>
      <c r="S24" s="19">
        <f t="shared" si="8"/>
        <v>27433.33</v>
      </c>
      <c r="T24" s="19">
        <f t="shared" si="8"/>
        <v>1800</v>
      </c>
      <c r="U24" s="19">
        <f t="shared" si="8"/>
        <v>1700</v>
      </c>
      <c r="V24" s="19">
        <f>SUM(V15:V23)</f>
        <v>32234</v>
      </c>
      <c r="W24" s="19">
        <f t="shared" ref="W24:AG24" si="9">SUM(W15:W23)</f>
        <v>1600</v>
      </c>
      <c r="X24" s="19">
        <f t="shared" si="9"/>
        <v>11100</v>
      </c>
      <c r="Y24" s="19">
        <f t="shared" si="9"/>
        <v>1800</v>
      </c>
      <c r="Z24" s="19">
        <f t="shared" si="9"/>
        <v>11400</v>
      </c>
      <c r="AA24" s="19">
        <f t="shared" si="9"/>
        <v>15534</v>
      </c>
      <c r="AB24" s="19">
        <f t="shared" si="9"/>
        <v>0</v>
      </c>
      <c r="AC24" s="19">
        <f t="shared" si="9"/>
        <v>2934</v>
      </c>
      <c r="AD24" s="19">
        <f>SUM(AD15:AD23)</f>
        <v>800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69461.069999999832</v>
      </c>
      <c r="C25" s="20">
        <f>C10+C14-C24</f>
        <v>-32130.32</v>
      </c>
      <c r="D25" s="20">
        <f t="shared" ref="D25:AG25" si="10">D10+D14-D24</f>
        <v>-62597.16</v>
      </c>
      <c r="E25" s="20">
        <f t="shared" si="10"/>
        <v>-63564</v>
      </c>
      <c r="F25" s="20">
        <f t="shared" si="10"/>
        <v>-52230.84</v>
      </c>
      <c r="G25" s="20">
        <f t="shared" si="10"/>
        <v>-60497.679999999993</v>
      </c>
      <c r="H25" s="20">
        <f t="shared" si="10"/>
        <v>-48564.51999999999</v>
      </c>
      <c r="I25" s="20">
        <f t="shared" si="10"/>
        <v>-60631.359999999986</v>
      </c>
      <c r="J25" s="20">
        <f t="shared" si="10"/>
        <v>-63298.199999999983</v>
      </c>
      <c r="K25" s="20">
        <f t="shared" si="10"/>
        <v>-63665.039999999979</v>
      </c>
      <c r="L25" s="20">
        <f t="shared" si="10"/>
        <v>-61631.879999999976</v>
      </c>
      <c r="M25" s="20">
        <f t="shared" si="10"/>
        <v>-50998.719999999972</v>
      </c>
      <c r="N25" s="20">
        <f t="shared" si="10"/>
        <v>-55331.929999999971</v>
      </c>
      <c r="O25" s="20">
        <f t="shared" si="10"/>
        <v>-43332.099999999969</v>
      </c>
      <c r="P25" s="20">
        <f t="shared" si="10"/>
        <v>-32332.269999999968</v>
      </c>
      <c r="Q25" s="20">
        <f t="shared" si="10"/>
        <v>-25032.439999999966</v>
      </c>
      <c r="R25" s="20">
        <f t="shared" si="10"/>
        <v>-14332.609999999966</v>
      </c>
      <c r="S25" s="20">
        <f t="shared" si="10"/>
        <v>-28366.109999999968</v>
      </c>
      <c r="T25" s="20">
        <f t="shared" si="10"/>
        <v>-18666.27999999997</v>
      </c>
      <c r="U25" s="20">
        <f t="shared" si="10"/>
        <v>-7966.4499999999698</v>
      </c>
      <c r="V25" s="20">
        <f t="shared" si="10"/>
        <v>-28432.999999999971</v>
      </c>
      <c r="W25" s="20">
        <f t="shared" si="10"/>
        <v>-17766.509999999973</v>
      </c>
      <c r="X25" s="20">
        <f t="shared" si="10"/>
        <v>-15900.019999999973</v>
      </c>
      <c r="Y25" s="20">
        <f t="shared" si="10"/>
        <v>-4433.5299999999734</v>
      </c>
      <c r="Z25" s="20">
        <f t="shared" si="10"/>
        <v>-3667.0399999999736</v>
      </c>
      <c r="AA25" s="20">
        <f t="shared" si="10"/>
        <v>-6834.5499999999738</v>
      </c>
      <c r="AB25" s="20">
        <f t="shared" si="10"/>
        <v>4531.940000000026</v>
      </c>
      <c r="AC25" s="20">
        <f t="shared" si="10"/>
        <v>13764.430000000026</v>
      </c>
      <c r="AD25" s="20">
        <f t="shared" si="10"/>
        <v>25130.920000000027</v>
      </c>
      <c r="AE25" s="20">
        <f t="shared" si="10"/>
        <v>25130.920000000027</v>
      </c>
      <c r="AF25" s="20">
        <f t="shared" si="10"/>
        <v>25130.920000000027</v>
      </c>
      <c r="AG25" s="20">
        <f t="shared" si="10"/>
        <v>25130.920000000027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2660</v>
      </c>
      <c r="C3" s="27">
        <v>95</v>
      </c>
      <c r="D3" s="27">
        <v>95</v>
      </c>
      <c r="E3" s="27">
        <v>95</v>
      </c>
      <c r="F3" s="27">
        <v>95</v>
      </c>
      <c r="G3" s="27">
        <v>95</v>
      </c>
      <c r="H3" s="27">
        <v>95</v>
      </c>
      <c r="I3" s="27">
        <v>95</v>
      </c>
      <c r="J3" s="27">
        <v>95</v>
      </c>
      <c r="K3" s="27">
        <v>95</v>
      </c>
      <c r="L3" s="27">
        <v>95</v>
      </c>
      <c r="M3" s="27">
        <v>95</v>
      </c>
      <c r="N3" s="27">
        <v>95</v>
      </c>
      <c r="O3" s="27">
        <v>95</v>
      </c>
      <c r="P3" s="27">
        <v>95</v>
      </c>
      <c r="Q3" s="27">
        <v>95</v>
      </c>
      <c r="R3" s="27">
        <v>95</v>
      </c>
      <c r="S3" s="27">
        <v>95</v>
      </c>
      <c r="T3" s="27">
        <v>95</v>
      </c>
      <c r="U3" s="27">
        <v>95</v>
      </c>
      <c r="V3" s="27">
        <v>95</v>
      </c>
      <c r="W3" s="27">
        <v>95</v>
      </c>
      <c r="X3" s="27">
        <v>95</v>
      </c>
      <c r="Y3" s="27">
        <v>95</v>
      </c>
      <c r="Z3" s="27">
        <v>95</v>
      </c>
      <c r="AA3" s="27">
        <v>95</v>
      </c>
      <c r="AB3" s="27">
        <v>95</v>
      </c>
      <c r="AC3" s="27">
        <v>95</v>
      </c>
      <c r="AD3" s="27">
        <v>95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2660</v>
      </c>
      <c r="C5" s="5">
        <f t="shared" ref="C5:AG5" si="1">+C3-C4</f>
        <v>95</v>
      </c>
      <c r="D5" s="5">
        <f t="shared" si="1"/>
        <v>95</v>
      </c>
      <c r="E5" s="5">
        <f t="shared" si="1"/>
        <v>95</v>
      </c>
      <c r="F5" s="5">
        <f t="shared" si="1"/>
        <v>95</v>
      </c>
      <c r="G5" s="5">
        <f t="shared" si="1"/>
        <v>95</v>
      </c>
      <c r="H5" s="5">
        <f t="shared" si="1"/>
        <v>95</v>
      </c>
      <c r="I5" s="5">
        <f t="shared" si="1"/>
        <v>95</v>
      </c>
      <c r="J5" s="5">
        <f t="shared" si="1"/>
        <v>95</v>
      </c>
      <c r="K5" s="5">
        <f t="shared" si="1"/>
        <v>95</v>
      </c>
      <c r="L5" s="5">
        <f t="shared" si="1"/>
        <v>95</v>
      </c>
      <c r="M5" s="5">
        <f t="shared" si="1"/>
        <v>95</v>
      </c>
      <c r="N5" s="5">
        <f t="shared" si="1"/>
        <v>95</v>
      </c>
      <c r="O5" s="5">
        <f t="shared" si="1"/>
        <v>95</v>
      </c>
      <c r="P5" s="5">
        <f t="shared" si="1"/>
        <v>95</v>
      </c>
      <c r="Q5" s="5">
        <f t="shared" si="1"/>
        <v>95</v>
      </c>
      <c r="R5" s="5">
        <f t="shared" si="1"/>
        <v>95</v>
      </c>
      <c r="S5" s="5">
        <f t="shared" si="1"/>
        <v>95</v>
      </c>
      <c r="T5" s="5">
        <f t="shared" si="1"/>
        <v>95</v>
      </c>
      <c r="U5" s="5">
        <f t="shared" si="1"/>
        <v>95</v>
      </c>
      <c r="V5" s="5">
        <f t="shared" si="1"/>
        <v>95</v>
      </c>
      <c r="W5" s="5">
        <f t="shared" si="1"/>
        <v>95</v>
      </c>
      <c r="X5" s="5">
        <f t="shared" si="1"/>
        <v>95</v>
      </c>
      <c r="Y5" s="5">
        <f t="shared" si="1"/>
        <v>95</v>
      </c>
      <c r="Z5" s="5">
        <f t="shared" si="1"/>
        <v>95</v>
      </c>
      <c r="AA5" s="5">
        <f t="shared" si="1"/>
        <v>95</v>
      </c>
      <c r="AB5" s="5">
        <f t="shared" si="1"/>
        <v>95</v>
      </c>
      <c r="AC5" s="5">
        <f t="shared" si="1"/>
        <v>95</v>
      </c>
      <c r="AD5" s="5">
        <f t="shared" si="1"/>
        <v>95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1009</v>
      </c>
      <c r="C6" s="34">
        <v>44</v>
      </c>
      <c r="D6" s="34">
        <v>37</v>
      </c>
      <c r="E6" s="34">
        <v>35</v>
      </c>
      <c r="F6" s="34">
        <v>40</v>
      </c>
      <c r="G6" s="34">
        <v>26</v>
      </c>
      <c r="H6" s="34">
        <v>14</v>
      </c>
      <c r="I6" s="34">
        <v>23</v>
      </c>
      <c r="J6" s="34">
        <v>36</v>
      </c>
      <c r="K6" s="34">
        <v>30</v>
      </c>
      <c r="L6" s="34">
        <v>14</v>
      </c>
      <c r="M6" s="34">
        <v>31</v>
      </c>
      <c r="N6" s="34">
        <v>45</v>
      </c>
      <c r="O6" s="34">
        <v>45</v>
      </c>
      <c r="P6" s="34">
        <v>39</v>
      </c>
      <c r="Q6" s="34">
        <v>45</v>
      </c>
      <c r="R6" s="34">
        <v>41</v>
      </c>
      <c r="S6" s="34">
        <v>45</v>
      </c>
      <c r="T6" s="34">
        <v>37</v>
      </c>
      <c r="U6" s="34">
        <v>36</v>
      </c>
      <c r="V6" s="34">
        <v>45</v>
      </c>
      <c r="W6" s="34">
        <v>44</v>
      </c>
      <c r="X6" s="34">
        <v>41</v>
      </c>
      <c r="Y6" s="34">
        <v>44</v>
      </c>
      <c r="Z6" s="34">
        <v>54</v>
      </c>
      <c r="AA6" s="34">
        <v>65</v>
      </c>
      <c r="AB6" s="34">
        <v>33</v>
      </c>
      <c r="AC6" s="34">
        <v>20</v>
      </c>
      <c r="AD6" s="34"/>
      <c r="AE6" s="34"/>
      <c r="AF6" s="34"/>
      <c r="AG6" s="34"/>
    </row>
    <row r="7" spans="1:33">
      <c r="A7" s="4" t="s">
        <v>4</v>
      </c>
      <c r="B7" s="7">
        <f>IF(B6=0,0,B6/B5)</f>
        <v>0.37932330827067667</v>
      </c>
      <c r="C7" s="7">
        <f t="shared" ref="C7:AG7" si="2">IF(C6=0,0,C6/C5)</f>
        <v>0.4631578947368421</v>
      </c>
      <c r="D7" s="7">
        <f t="shared" si="2"/>
        <v>0.38947368421052631</v>
      </c>
      <c r="E7" s="7">
        <f t="shared" si="2"/>
        <v>0.36842105263157893</v>
      </c>
      <c r="F7" s="7">
        <f t="shared" si="2"/>
        <v>0.42105263157894735</v>
      </c>
      <c r="G7" s="7">
        <f t="shared" si="2"/>
        <v>0.27368421052631581</v>
      </c>
      <c r="H7" s="7">
        <f t="shared" si="2"/>
        <v>0.14736842105263157</v>
      </c>
      <c r="I7" s="7">
        <f t="shared" si="2"/>
        <v>0.24210526315789474</v>
      </c>
      <c r="J7" s="7">
        <f t="shared" si="2"/>
        <v>0.37894736842105264</v>
      </c>
      <c r="K7" s="7">
        <f t="shared" si="2"/>
        <v>0.31578947368421051</v>
      </c>
      <c r="L7" s="7">
        <f t="shared" si="2"/>
        <v>0.14736842105263157</v>
      </c>
      <c r="M7" s="7">
        <f t="shared" si="2"/>
        <v>0.32631578947368423</v>
      </c>
      <c r="N7" s="7">
        <f t="shared" si="2"/>
        <v>0.47368421052631576</v>
      </c>
      <c r="O7" s="7">
        <f t="shared" si="2"/>
        <v>0.47368421052631576</v>
      </c>
      <c r="P7" s="7">
        <f t="shared" si="2"/>
        <v>0.41052631578947368</v>
      </c>
      <c r="Q7" s="7">
        <f t="shared" si="2"/>
        <v>0.47368421052631576</v>
      </c>
      <c r="R7" s="7">
        <f t="shared" si="2"/>
        <v>0.43157894736842106</v>
      </c>
      <c r="S7" s="7">
        <f t="shared" si="2"/>
        <v>0.47368421052631576</v>
      </c>
      <c r="T7" s="7">
        <f t="shared" si="2"/>
        <v>0.38947368421052631</v>
      </c>
      <c r="U7" s="7">
        <f t="shared" si="2"/>
        <v>0.37894736842105264</v>
      </c>
      <c r="V7" s="7">
        <f t="shared" si="2"/>
        <v>0.47368421052631576</v>
      </c>
      <c r="W7" s="7">
        <f t="shared" si="2"/>
        <v>0.4631578947368421</v>
      </c>
      <c r="X7" s="7">
        <f t="shared" si="2"/>
        <v>0.43157894736842106</v>
      </c>
      <c r="Y7" s="7">
        <f t="shared" si="2"/>
        <v>0.4631578947368421</v>
      </c>
      <c r="Z7" s="7">
        <f t="shared" si="2"/>
        <v>0.56842105263157894</v>
      </c>
      <c r="AA7" s="7">
        <f t="shared" si="2"/>
        <v>0.68421052631578949</v>
      </c>
      <c r="AB7" s="7">
        <f t="shared" si="2"/>
        <v>0.3473684210526316</v>
      </c>
      <c r="AC7" s="7">
        <f t="shared" si="2"/>
        <v>0.21052631578947367</v>
      </c>
      <c r="AD7" s="7">
        <f t="shared" si="2"/>
        <v>0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546.92695738354792</v>
      </c>
      <c r="C8" s="6">
        <f t="shared" ref="C8:AG8" si="3">IF(C6=0,0,C11/C6)</f>
        <v>476.13568181818187</v>
      </c>
      <c r="D8" s="6">
        <f t="shared" si="3"/>
        <v>599.99918918918922</v>
      </c>
      <c r="E8" s="6">
        <f t="shared" si="3"/>
        <v>489.99914285714289</v>
      </c>
      <c r="F8" s="6">
        <f t="shared" si="3"/>
        <v>462.49925000000002</v>
      </c>
      <c r="G8" s="6">
        <f t="shared" si="3"/>
        <v>453.84499999999997</v>
      </c>
      <c r="H8" s="6">
        <f t="shared" si="3"/>
        <v>342.85500000000002</v>
      </c>
      <c r="I8" s="6">
        <f t="shared" si="3"/>
        <v>513.04217391304348</v>
      </c>
      <c r="J8" s="6">
        <f t="shared" si="3"/>
        <v>666.66583333333335</v>
      </c>
      <c r="K8" s="6">
        <f t="shared" si="3"/>
        <v>563.33233333333339</v>
      </c>
      <c r="L8" s="6">
        <f t="shared" si="3"/>
        <v>342.85500000000002</v>
      </c>
      <c r="M8" s="6">
        <f t="shared" si="3"/>
        <v>508.06354838709677</v>
      </c>
      <c r="N8" s="6">
        <f t="shared" si="3"/>
        <v>528.88822222222223</v>
      </c>
      <c r="O8" s="6">
        <f t="shared" si="3"/>
        <v>513.33266666666668</v>
      </c>
      <c r="P8" s="6">
        <f t="shared" si="3"/>
        <v>484.61461538461543</v>
      </c>
      <c r="Q8" s="6">
        <f t="shared" si="3"/>
        <v>559.99933333333331</v>
      </c>
      <c r="R8" s="6">
        <f t="shared" si="3"/>
        <v>485.36512195121952</v>
      </c>
      <c r="S8" s="6">
        <f t="shared" si="3"/>
        <v>544.44377777777777</v>
      </c>
      <c r="T8" s="6">
        <f t="shared" si="3"/>
        <v>540.53972972972974</v>
      </c>
      <c r="U8" s="6">
        <f t="shared" si="3"/>
        <v>488.88805555555558</v>
      </c>
      <c r="V8" s="6">
        <f t="shared" si="3"/>
        <v>486.66600000000005</v>
      </c>
      <c r="W8" s="6">
        <f t="shared" si="3"/>
        <v>492.42704545454546</v>
      </c>
      <c r="X8" s="6">
        <f t="shared" si="3"/>
        <v>484.95853658536583</v>
      </c>
      <c r="Y8" s="6">
        <f t="shared" si="3"/>
        <v>485.98409090909087</v>
      </c>
      <c r="Z8" s="6">
        <f t="shared" si="3"/>
        <v>521.91296296296298</v>
      </c>
      <c r="AA8" s="6">
        <f t="shared" si="3"/>
        <v>580.51230769230779</v>
      </c>
      <c r="AB8" s="6">
        <f t="shared" si="3"/>
        <v>734.84757575757578</v>
      </c>
      <c r="AC8" s="6">
        <f t="shared" si="3"/>
        <v>447.49849999999998</v>
      </c>
      <c r="AD8" s="6">
        <f t="shared" si="3"/>
        <v>0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207.46214285714279</v>
      </c>
      <c r="C9" s="6">
        <f t="shared" ref="C9:AG9" si="4">IF(C11=0,0,C11/C3)</f>
        <v>220.52600000000001</v>
      </c>
      <c r="D9" s="6">
        <f t="shared" si="4"/>
        <v>233.68389473684212</v>
      </c>
      <c r="E9" s="6">
        <f t="shared" si="4"/>
        <v>180.52600000000001</v>
      </c>
      <c r="F9" s="6">
        <f t="shared" si="4"/>
        <v>194.73652631578949</v>
      </c>
      <c r="G9" s="6">
        <f t="shared" si="4"/>
        <v>124.21021052631578</v>
      </c>
      <c r="H9" s="6">
        <f t="shared" si="4"/>
        <v>50.526000000000003</v>
      </c>
      <c r="I9" s="6">
        <f t="shared" si="4"/>
        <v>124.21021052631578</v>
      </c>
      <c r="J9" s="6">
        <f t="shared" si="4"/>
        <v>252.63126315789475</v>
      </c>
      <c r="K9" s="6">
        <f t="shared" si="4"/>
        <v>177.8944210526316</v>
      </c>
      <c r="L9" s="6">
        <f t="shared" si="4"/>
        <v>50.526000000000003</v>
      </c>
      <c r="M9" s="6">
        <f t="shared" si="4"/>
        <v>165.78915789473683</v>
      </c>
      <c r="N9" s="6">
        <f t="shared" si="4"/>
        <v>250.52600000000001</v>
      </c>
      <c r="O9" s="6">
        <f t="shared" si="4"/>
        <v>243.15757894736842</v>
      </c>
      <c r="P9" s="6">
        <f t="shared" si="4"/>
        <v>198.94705263157897</v>
      </c>
      <c r="Q9" s="6">
        <f t="shared" si="4"/>
        <v>265.26284210526319</v>
      </c>
      <c r="R9" s="6">
        <f t="shared" si="4"/>
        <v>209.47336842105264</v>
      </c>
      <c r="S9" s="6">
        <f t="shared" si="4"/>
        <v>257.89442105263157</v>
      </c>
      <c r="T9" s="6">
        <f t="shared" si="4"/>
        <v>210.52600000000001</v>
      </c>
      <c r="U9" s="6">
        <f t="shared" si="4"/>
        <v>185.26284210526316</v>
      </c>
      <c r="V9" s="6">
        <f t="shared" si="4"/>
        <v>230.52600000000001</v>
      </c>
      <c r="W9" s="6">
        <f t="shared" si="4"/>
        <v>228.07147368421053</v>
      </c>
      <c r="X9" s="6">
        <f t="shared" si="4"/>
        <v>209.2978947368421</v>
      </c>
      <c r="Y9" s="6">
        <f t="shared" si="4"/>
        <v>225.08736842105262</v>
      </c>
      <c r="Z9" s="6">
        <f t="shared" si="4"/>
        <v>296.66631578947369</v>
      </c>
      <c r="AA9" s="6">
        <f t="shared" si="4"/>
        <v>397.19263157894738</v>
      </c>
      <c r="AB9" s="6">
        <f t="shared" si="4"/>
        <v>255.26284210526316</v>
      </c>
      <c r="AC9" s="6">
        <f t="shared" si="4"/>
        <v>94.210210526315777</v>
      </c>
      <c r="AD9" s="6">
        <f t="shared" si="4"/>
        <v>276.31547368421053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-214906.22</v>
      </c>
      <c r="D10" s="29">
        <f>C25</f>
        <v>-188356.25</v>
      </c>
      <c r="E10" s="29">
        <f t="shared" ref="E10:AG10" si="5">D25</f>
        <v>-197606.28</v>
      </c>
      <c r="F10" s="29">
        <f t="shared" si="5"/>
        <v>-202256.31</v>
      </c>
      <c r="G10" s="29">
        <f t="shared" si="5"/>
        <v>-179706.34</v>
      </c>
      <c r="H10" s="29">
        <f t="shared" si="5"/>
        <v>-184406.37</v>
      </c>
      <c r="I10" s="29">
        <f t="shared" si="5"/>
        <v>-195606.39999999999</v>
      </c>
      <c r="J10" s="29">
        <f t="shared" si="5"/>
        <v>-201206.43</v>
      </c>
      <c r="K10" s="29">
        <f t="shared" si="5"/>
        <v>-191706.46</v>
      </c>
      <c r="L10" s="29">
        <f t="shared" si="5"/>
        <v>-173606.49</v>
      </c>
      <c r="M10" s="29">
        <f t="shared" si="5"/>
        <v>-202406.52</v>
      </c>
      <c r="N10" s="29">
        <f t="shared" si="5"/>
        <v>-195156.55</v>
      </c>
      <c r="O10" s="29">
        <f t="shared" si="5"/>
        <v>-167756.57999999999</v>
      </c>
      <c r="P10" s="29">
        <f t="shared" si="5"/>
        <v>-186156.31</v>
      </c>
      <c r="Q10" s="29">
        <f t="shared" si="5"/>
        <v>-181656.34</v>
      </c>
      <c r="R10" s="29">
        <f t="shared" si="5"/>
        <v>-163656.37</v>
      </c>
      <c r="S10" s="29">
        <f t="shared" si="5"/>
        <v>-184906.4</v>
      </c>
      <c r="T10" s="29">
        <f t="shared" si="5"/>
        <v>-172006.43</v>
      </c>
      <c r="U10" s="29">
        <f t="shared" si="5"/>
        <v>-200006.46</v>
      </c>
      <c r="V10" s="29">
        <f t="shared" si="5"/>
        <v>-179906.49</v>
      </c>
      <c r="W10" s="29">
        <f t="shared" si="5"/>
        <v>-161406.51999999999</v>
      </c>
      <c r="X10" s="29">
        <f t="shared" si="5"/>
        <v>-123139.72999999998</v>
      </c>
      <c r="Y10" s="29">
        <f t="shared" si="5"/>
        <v>-159956.43</v>
      </c>
      <c r="Z10" s="29">
        <f t="shared" si="5"/>
        <v>-137773.13</v>
      </c>
      <c r="AA10" s="29">
        <f t="shared" si="5"/>
        <v>-133489.83000000002</v>
      </c>
      <c r="AB10" s="29">
        <f t="shared" si="5"/>
        <v>-141056.53000000003</v>
      </c>
      <c r="AC10" s="29">
        <f t="shared" si="5"/>
        <v>-172206.46000000002</v>
      </c>
      <c r="AD10" s="29">
        <f t="shared" si="5"/>
        <v>-165956.49000000002</v>
      </c>
      <c r="AE10" s="29">
        <f t="shared" si="5"/>
        <v>-148756.52000000002</v>
      </c>
      <c r="AF10" s="29">
        <f t="shared" si="5"/>
        <v>-148756.52000000002</v>
      </c>
      <c r="AG10" s="29">
        <f t="shared" si="5"/>
        <v>-148756.52000000002</v>
      </c>
    </row>
    <row r="11" spans="1:33">
      <c r="A11" s="4" t="s">
        <v>8</v>
      </c>
      <c r="B11" s="23">
        <f>SUM(C11:AG11)</f>
        <v>551849.29999999981</v>
      </c>
      <c r="C11" s="23">
        <v>20949.97</v>
      </c>
      <c r="D11" s="23">
        <v>22199.97</v>
      </c>
      <c r="E11" s="23">
        <v>17149.97</v>
      </c>
      <c r="F11" s="23">
        <v>18499.97</v>
      </c>
      <c r="G11" s="23">
        <v>11799.97</v>
      </c>
      <c r="H11" s="23">
        <v>4799.97</v>
      </c>
      <c r="I11" s="23">
        <v>11799.97</v>
      </c>
      <c r="J11" s="23">
        <v>23999.97</v>
      </c>
      <c r="K11" s="23">
        <v>16899.97</v>
      </c>
      <c r="L11" s="23">
        <v>4799.97</v>
      </c>
      <c r="M11" s="23">
        <v>15749.97</v>
      </c>
      <c r="N11" s="23">
        <v>23799.97</v>
      </c>
      <c r="O11" s="23">
        <v>23099.97</v>
      </c>
      <c r="P11" s="23">
        <v>18899.97</v>
      </c>
      <c r="Q11" s="23">
        <v>25199.97</v>
      </c>
      <c r="R11" s="23">
        <v>19899.97</v>
      </c>
      <c r="S11" s="23">
        <v>24499.97</v>
      </c>
      <c r="T11" s="23">
        <v>19999.97</v>
      </c>
      <c r="U11" s="23">
        <v>17599.97</v>
      </c>
      <c r="V11" s="23">
        <v>21899.97</v>
      </c>
      <c r="W11" s="23">
        <v>21666.79</v>
      </c>
      <c r="X11" s="23">
        <v>19883.3</v>
      </c>
      <c r="Y11" s="23">
        <v>21383.3</v>
      </c>
      <c r="Z11" s="23">
        <v>28183.3</v>
      </c>
      <c r="AA11" s="23">
        <v>37733.300000000003</v>
      </c>
      <c r="AB11" s="23">
        <v>24249.97</v>
      </c>
      <c r="AC11" s="23">
        <v>8949.9699999999993</v>
      </c>
      <c r="AD11" s="23">
        <v>26249.97</v>
      </c>
      <c r="AE11" s="23"/>
      <c r="AF11" s="23"/>
      <c r="AG11" s="23"/>
    </row>
    <row r="12" spans="1:33">
      <c r="A12" s="4" t="s">
        <v>9</v>
      </c>
      <c r="B12" s="23">
        <f>SUM(C12:AG12)</f>
        <v>135185.1</v>
      </c>
      <c r="C12" s="23">
        <v>5675</v>
      </c>
      <c r="D12" s="23">
        <v>4465</v>
      </c>
      <c r="E12" s="23">
        <v>3900</v>
      </c>
      <c r="F12" s="23">
        <v>5025</v>
      </c>
      <c r="G12" s="23">
        <v>2260</v>
      </c>
      <c r="H12" s="23"/>
      <c r="I12" s="23">
        <v>1650</v>
      </c>
      <c r="J12" s="23">
        <v>4700</v>
      </c>
      <c r="K12" s="23">
        <v>2870</v>
      </c>
      <c r="L12" s="23">
        <v>2215</v>
      </c>
      <c r="M12" s="23">
        <v>3000</v>
      </c>
      <c r="N12" s="23">
        <v>5600</v>
      </c>
      <c r="O12" s="23">
        <v>5900</v>
      </c>
      <c r="P12" s="23">
        <v>5100</v>
      </c>
      <c r="Q12" s="23">
        <v>6300</v>
      </c>
      <c r="R12" s="23">
        <v>5600</v>
      </c>
      <c r="S12" s="23">
        <v>6440</v>
      </c>
      <c r="T12" s="23">
        <v>4445</v>
      </c>
      <c r="U12" s="23">
        <v>4555</v>
      </c>
      <c r="V12" s="23">
        <v>6100</v>
      </c>
      <c r="W12" s="23">
        <v>6100</v>
      </c>
      <c r="X12" s="23">
        <v>5480</v>
      </c>
      <c r="Y12" s="23">
        <v>5800</v>
      </c>
      <c r="Z12" s="23">
        <v>8225</v>
      </c>
      <c r="AA12" s="23">
        <v>10125</v>
      </c>
      <c r="AB12" s="23">
        <f>0.1+155+4600</f>
        <v>4755.1000000000004</v>
      </c>
      <c r="AC12" s="23">
        <v>1700</v>
      </c>
      <c r="AD12" s="23">
        <v>7200</v>
      </c>
      <c r="AE12" s="23"/>
      <c r="AF12" s="23"/>
      <c r="AG12" s="23"/>
    </row>
    <row r="13" spans="1:33">
      <c r="A13" s="8" t="s">
        <v>10</v>
      </c>
      <c r="B13" s="23">
        <f>SUM(C13:AG13)</f>
        <v>3894.3</v>
      </c>
      <c r="C13" s="24"/>
      <c r="D13" s="24"/>
      <c r="E13" s="24"/>
      <c r="F13" s="24">
        <v>-750</v>
      </c>
      <c r="G13" s="24"/>
      <c r="H13" s="24"/>
      <c r="I13" s="24"/>
      <c r="J13" s="24"/>
      <c r="K13" s="23"/>
      <c r="L13" s="23"/>
      <c r="M13" s="23">
        <v>3179</v>
      </c>
      <c r="N13" s="23"/>
      <c r="O13" s="23">
        <v>1382.3</v>
      </c>
      <c r="P13" s="23"/>
      <c r="Q13" s="23">
        <v>200</v>
      </c>
      <c r="R13" s="23"/>
      <c r="S13" s="23"/>
      <c r="T13" s="23"/>
      <c r="U13" s="23"/>
      <c r="V13" s="23"/>
      <c r="W13" s="23"/>
      <c r="X13" s="23"/>
      <c r="Y13" s="23"/>
      <c r="Z13" s="23">
        <v>-600</v>
      </c>
      <c r="AA13" s="23">
        <v>443</v>
      </c>
      <c r="AB13" s="23"/>
      <c r="AC13" s="23">
        <v>40</v>
      </c>
      <c r="AD13" s="23">
        <f>33449.97-AD11-AD12</f>
        <v>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690928.69999999984</v>
      </c>
      <c r="C14" s="18">
        <f>SUM(C11:C13)</f>
        <v>26624.97</v>
      </c>
      <c r="D14" s="18">
        <f t="shared" ref="D14:AG14" si="6">SUM(D11:D13)</f>
        <v>26664.97</v>
      </c>
      <c r="E14" s="18">
        <f t="shared" si="6"/>
        <v>21049.97</v>
      </c>
      <c r="F14" s="18">
        <f t="shared" si="6"/>
        <v>22774.97</v>
      </c>
      <c r="G14" s="18">
        <f t="shared" si="6"/>
        <v>14059.97</v>
      </c>
      <c r="H14" s="18">
        <f t="shared" si="6"/>
        <v>4799.97</v>
      </c>
      <c r="I14" s="18">
        <f t="shared" si="6"/>
        <v>13449.97</v>
      </c>
      <c r="J14" s="18">
        <f t="shared" si="6"/>
        <v>28699.97</v>
      </c>
      <c r="K14" s="18">
        <f t="shared" si="6"/>
        <v>19769.97</v>
      </c>
      <c r="L14" s="18">
        <f t="shared" si="6"/>
        <v>7014.97</v>
      </c>
      <c r="M14" s="18">
        <f t="shared" si="6"/>
        <v>21928.97</v>
      </c>
      <c r="N14" s="18">
        <f t="shared" si="6"/>
        <v>29399.97</v>
      </c>
      <c r="O14" s="18">
        <f t="shared" si="6"/>
        <v>30382.27</v>
      </c>
      <c r="P14" s="18">
        <f t="shared" si="6"/>
        <v>23999.97</v>
      </c>
      <c r="Q14" s="18">
        <f t="shared" si="6"/>
        <v>31699.97</v>
      </c>
      <c r="R14" s="18">
        <f t="shared" si="6"/>
        <v>25499.97</v>
      </c>
      <c r="S14" s="18">
        <f t="shared" si="6"/>
        <v>30939.97</v>
      </c>
      <c r="T14" s="18">
        <f t="shared" si="6"/>
        <v>24444.97</v>
      </c>
      <c r="U14" s="18">
        <f t="shared" si="6"/>
        <v>22154.97</v>
      </c>
      <c r="V14" s="18">
        <f t="shared" si="6"/>
        <v>27999.97</v>
      </c>
      <c r="W14" s="18">
        <f t="shared" si="6"/>
        <v>27766.79</v>
      </c>
      <c r="X14" s="18">
        <f t="shared" si="6"/>
        <v>25363.3</v>
      </c>
      <c r="Y14" s="18">
        <f t="shared" si="6"/>
        <v>27183.3</v>
      </c>
      <c r="Z14" s="18">
        <f t="shared" si="6"/>
        <v>35808.300000000003</v>
      </c>
      <c r="AA14" s="18">
        <f t="shared" si="6"/>
        <v>48301.3</v>
      </c>
      <c r="AB14" s="18">
        <f t="shared" si="6"/>
        <v>29005.07</v>
      </c>
      <c r="AC14" s="18">
        <f t="shared" si="6"/>
        <v>10689.97</v>
      </c>
      <c r="AD14" s="18">
        <f>SUM(AD11:AD13)</f>
        <v>33449.97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229300</v>
      </c>
      <c r="C15" s="23">
        <v>75</v>
      </c>
      <c r="D15" s="23">
        <v>2165</v>
      </c>
      <c r="E15" s="23">
        <v>25700</v>
      </c>
      <c r="F15" s="23">
        <v>225</v>
      </c>
      <c r="G15" s="23">
        <v>2260</v>
      </c>
      <c r="H15" s="23">
        <v>1000</v>
      </c>
      <c r="I15" s="23">
        <v>19050</v>
      </c>
      <c r="J15" s="23">
        <v>19200</v>
      </c>
      <c r="K15" s="23">
        <v>70</v>
      </c>
      <c r="L15" s="23">
        <v>35815</v>
      </c>
      <c r="M15" s="23">
        <v>15000</v>
      </c>
      <c r="N15" s="23">
        <v>2000</v>
      </c>
      <c r="O15" s="23">
        <v>26282</v>
      </c>
      <c r="P15" s="23">
        <v>19500</v>
      </c>
      <c r="Q15" s="23">
        <v>200</v>
      </c>
      <c r="R15" s="23">
        <v>27250</v>
      </c>
      <c r="S15" s="23">
        <v>40</v>
      </c>
      <c r="T15" s="23">
        <v>545</v>
      </c>
      <c r="U15" s="23">
        <v>2055</v>
      </c>
      <c r="V15" s="23">
        <v>500</v>
      </c>
      <c r="W15" s="23">
        <v>500</v>
      </c>
      <c r="X15" s="23">
        <v>2180</v>
      </c>
      <c r="Y15" s="23">
        <v>500</v>
      </c>
      <c r="Z15" s="23">
        <v>2025</v>
      </c>
      <c r="AA15" s="23">
        <v>8568</v>
      </c>
      <c r="AB15" s="23">
        <v>9155</v>
      </c>
      <c r="AC15" s="23">
        <v>7440</v>
      </c>
      <c r="AD15" s="23"/>
      <c r="AE15" s="23"/>
      <c r="AF15" s="23"/>
      <c r="AG15" s="23"/>
    </row>
    <row r="16" spans="1:33">
      <c r="A16" s="16" t="s">
        <v>16</v>
      </c>
      <c r="B16" s="23">
        <f t="shared" si="7"/>
        <v>34500</v>
      </c>
      <c r="C16" s="23"/>
      <c r="D16" s="23"/>
      <c r="E16" s="23"/>
      <c r="F16" s="23"/>
      <c r="G16" s="23"/>
      <c r="H16" s="23"/>
      <c r="I16" s="23"/>
      <c r="J16" s="23"/>
      <c r="K16" s="23">
        <v>1600</v>
      </c>
      <c r="L16" s="23"/>
      <c r="M16" s="23"/>
      <c r="N16" s="23"/>
      <c r="O16" s="23"/>
      <c r="P16" s="23"/>
      <c r="Q16" s="23"/>
      <c r="R16" s="23"/>
      <c r="S16" s="23"/>
      <c r="T16" s="23">
        <v>21900</v>
      </c>
      <c r="U16" s="23"/>
      <c r="V16" s="23"/>
      <c r="W16" s="23"/>
      <c r="X16" s="23"/>
      <c r="Y16" s="23"/>
      <c r="Z16" s="23"/>
      <c r="AA16" s="23"/>
      <c r="AB16" s="23"/>
      <c r="AC16" s="23"/>
      <c r="AD16" s="23">
        <v>11000</v>
      </c>
      <c r="AE16" s="23"/>
      <c r="AF16" s="23"/>
      <c r="AG16" s="23"/>
    </row>
    <row r="17" spans="1:33">
      <c r="A17" s="16" t="s">
        <v>17</v>
      </c>
      <c r="B17" s="23">
        <f t="shared" si="7"/>
        <v>32300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>
        <v>32300</v>
      </c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5000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>
        <v>5000</v>
      </c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347500</v>
      </c>
      <c r="C21" s="23"/>
      <c r="D21" s="23">
        <v>33750</v>
      </c>
      <c r="E21" s="23"/>
      <c r="F21" s="23"/>
      <c r="G21" s="23">
        <v>19500</v>
      </c>
      <c r="H21" s="23">
        <v>15000</v>
      </c>
      <c r="I21" s="23"/>
      <c r="J21" s="23"/>
      <c r="K21" s="23"/>
      <c r="L21" s="23"/>
      <c r="M21" s="23"/>
      <c r="N21" s="23"/>
      <c r="O21" s="23">
        <v>22500</v>
      </c>
      <c r="P21" s="23"/>
      <c r="Q21" s="23">
        <v>13500</v>
      </c>
      <c r="R21" s="23">
        <v>19500</v>
      </c>
      <c r="S21" s="23">
        <v>18000</v>
      </c>
      <c r="T21" s="23">
        <v>30000</v>
      </c>
      <c r="U21" s="23"/>
      <c r="V21" s="23">
        <v>9000</v>
      </c>
      <c r="W21" s="23"/>
      <c r="X21" s="23">
        <v>60000</v>
      </c>
      <c r="Y21" s="23">
        <v>4500</v>
      </c>
      <c r="Z21" s="23">
        <v>29500</v>
      </c>
      <c r="AA21" s="23">
        <v>15000</v>
      </c>
      <c r="AB21" s="23">
        <v>51000</v>
      </c>
      <c r="AC21" s="23">
        <v>1500</v>
      </c>
      <c r="AD21" s="23">
        <v>5250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-23821</v>
      </c>
      <c r="C23" s="24"/>
      <c r="D23" s="24"/>
      <c r="E23" s="24"/>
      <c r="F23" s="24"/>
      <c r="G23" s="24">
        <v>-3000</v>
      </c>
      <c r="H23" s="24"/>
      <c r="I23" s="24"/>
      <c r="J23" s="24"/>
      <c r="K23" s="24"/>
      <c r="L23" s="24"/>
      <c r="M23" s="24">
        <v>-321</v>
      </c>
      <c r="N23" s="24"/>
      <c r="O23" s="24"/>
      <c r="P23" s="24"/>
      <c r="Q23" s="24"/>
      <c r="R23" s="24"/>
      <c r="S23" s="24"/>
      <c r="T23" s="24"/>
      <c r="U23" s="24"/>
      <c r="V23" s="24"/>
      <c r="W23" s="24">
        <v>-11000</v>
      </c>
      <c r="X23" s="24"/>
      <c r="Y23" s="24"/>
      <c r="Z23" s="24">
        <v>-32300</v>
      </c>
      <c r="AA23" s="24">
        <f>-5000+32300</f>
        <v>27300</v>
      </c>
      <c r="AB23" s="24"/>
      <c r="AC23" s="24">
        <v>-4500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624779</v>
      </c>
      <c r="C24" s="19">
        <f>SUM(C15:C23)</f>
        <v>75</v>
      </c>
      <c r="D24" s="19">
        <f t="shared" ref="D24:U24" si="8">SUM(D15:D23)</f>
        <v>35915</v>
      </c>
      <c r="E24" s="19">
        <f t="shared" si="8"/>
        <v>25700</v>
      </c>
      <c r="F24" s="19">
        <f t="shared" si="8"/>
        <v>225</v>
      </c>
      <c r="G24" s="19">
        <f t="shared" si="8"/>
        <v>18760</v>
      </c>
      <c r="H24" s="19">
        <f t="shared" si="8"/>
        <v>16000</v>
      </c>
      <c r="I24" s="19">
        <f t="shared" si="8"/>
        <v>19050</v>
      </c>
      <c r="J24" s="19">
        <f t="shared" si="8"/>
        <v>19200</v>
      </c>
      <c r="K24" s="19">
        <f t="shared" si="8"/>
        <v>1670</v>
      </c>
      <c r="L24" s="19">
        <f t="shared" si="8"/>
        <v>35815</v>
      </c>
      <c r="M24" s="19">
        <f t="shared" si="8"/>
        <v>14679</v>
      </c>
      <c r="N24" s="19">
        <f t="shared" si="8"/>
        <v>2000</v>
      </c>
      <c r="O24" s="19">
        <f t="shared" si="8"/>
        <v>48782</v>
      </c>
      <c r="P24" s="19">
        <f t="shared" si="8"/>
        <v>19500</v>
      </c>
      <c r="Q24" s="19">
        <f t="shared" si="8"/>
        <v>13700</v>
      </c>
      <c r="R24" s="19">
        <f t="shared" si="8"/>
        <v>46750</v>
      </c>
      <c r="S24" s="19">
        <f t="shared" si="8"/>
        <v>18040</v>
      </c>
      <c r="T24" s="19">
        <f t="shared" si="8"/>
        <v>52445</v>
      </c>
      <c r="U24" s="19">
        <f t="shared" si="8"/>
        <v>2055</v>
      </c>
      <c r="V24" s="19">
        <f>SUM(V15:V23)</f>
        <v>9500</v>
      </c>
      <c r="W24" s="19">
        <f t="shared" ref="W24:AG24" si="9">SUM(W15:W23)</f>
        <v>-10500</v>
      </c>
      <c r="X24" s="19">
        <f t="shared" si="9"/>
        <v>62180</v>
      </c>
      <c r="Y24" s="19">
        <f t="shared" si="9"/>
        <v>5000</v>
      </c>
      <c r="Z24" s="19">
        <f t="shared" si="9"/>
        <v>31525</v>
      </c>
      <c r="AA24" s="19">
        <f t="shared" si="9"/>
        <v>55868</v>
      </c>
      <c r="AB24" s="19">
        <f t="shared" si="9"/>
        <v>60155</v>
      </c>
      <c r="AC24" s="19">
        <f>SUM(AC15:AC23)</f>
        <v>4440</v>
      </c>
      <c r="AD24" s="19">
        <f>SUM(AD15:AD23)</f>
        <v>16250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66149.699999999837</v>
      </c>
      <c r="C25" s="20">
        <f>C10+C14-C24</f>
        <v>-188356.25</v>
      </c>
      <c r="D25" s="20">
        <f t="shared" ref="D25:AG25" si="10">D10+D14-D24</f>
        <v>-197606.28</v>
      </c>
      <c r="E25" s="20">
        <f t="shared" si="10"/>
        <v>-202256.31</v>
      </c>
      <c r="F25" s="20">
        <f t="shared" si="10"/>
        <v>-179706.34</v>
      </c>
      <c r="G25" s="20">
        <f t="shared" si="10"/>
        <v>-184406.37</v>
      </c>
      <c r="H25" s="20">
        <f t="shared" si="10"/>
        <v>-195606.39999999999</v>
      </c>
      <c r="I25" s="20">
        <f t="shared" si="10"/>
        <v>-201206.43</v>
      </c>
      <c r="J25" s="20">
        <f t="shared" si="10"/>
        <v>-191706.46</v>
      </c>
      <c r="K25" s="20">
        <f t="shared" si="10"/>
        <v>-173606.49</v>
      </c>
      <c r="L25" s="20">
        <f t="shared" si="10"/>
        <v>-202406.52</v>
      </c>
      <c r="M25" s="20">
        <f t="shared" si="10"/>
        <v>-195156.55</v>
      </c>
      <c r="N25" s="20">
        <f t="shared" si="10"/>
        <v>-167756.57999999999</v>
      </c>
      <c r="O25" s="20">
        <f t="shared" si="10"/>
        <v>-186156.31</v>
      </c>
      <c r="P25" s="20">
        <f t="shared" si="10"/>
        <v>-181656.34</v>
      </c>
      <c r="Q25" s="20">
        <f t="shared" si="10"/>
        <v>-163656.37</v>
      </c>
      <c r="R25" s="20">
        <f t="shared" si="10"/>
        <v>-184906.4</v>
      </c>
      <c r="S25" s="20">
        <f t="shared" si="10"/>
        <v>-172006.43</v>
      </c>
      <c r="T25" s="20">
        <f t="shared" si="10"/>
        <v>-200006.46</v>
      </c>
      <c r="U25" s="20">
        <f t="shared" si="10"/>
        <v>-179906.49</v>
      </c>
      <c r="V25" s="20">
        <f t="shared" si="10"/>
        <v>-161406.51999999999</v>
      </c>
      <c r="W25" s="20">
        <f t="shared" si="10"/>
        <v>-123139.72999999998</v>
      </c>
      <c r="X25" s="20">
        <f t="shared" si="10"/>
        <v>-159956.43</v>
      </c>
      <c r="Y25" s="20">
        <f t="shared" si="10"/>
        <v>-137773.13</v>
      </c>
      <c r="Z25" s="20">
        <f t="shared" si="10"/>
        <v>-133489.83000000002</v>
      </c>
      <c r="AA25" s="20">
        <f t="shared" si="10"/>
        <v>-141056.53000000003</v>
      </c>
      <c r="AB25" s="20">
        <f t="shared" si="10"/>
        <v>-172206.46000000002</v>
      </c>
      <c r="AC25" s="20">
        <f t="shared" si="10"/>
        <v>-165956.49000000002</v>
      </c>
      <c r="AD25" s="20">
        <f t="shared" si="10"/>
        <v>-148756.52000000002</v>
      </c>
      <c r="AE25" s="20">
        <f t="shared" si="10"/>
        <v>-148756.52000000002</v>
      </c>
      <c r="AF25" s="20">
        <f t="shared" si="10"/>
        <v>-148756.52000000002</v>
      </c>
      <c r="AG25" s="20">
        <f t="shared" si="10"/>
        <v>-148756.52000000002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37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2128</v>
      </c>
      <c r="C3" s="27">
        <v>76</v>
      </c>
      <c r="D3" s="27">
        <v>76</v>
      </c>
      <c r="E3" s="27">
        <v>76</v>
      </c>
      <c r="F3" s="27">
        <v>76</v>
      </c>
      <c r="G3" s="27">
        <v>76</v>
      </c>
      <c r="H3" s="27">
        <v>76</v>
      </c>
      <c r="I3" s="27">
        <v>76</v>
      </c>
      <c r="J3" s="27">
        <v>76</v>
      </c>
      <c r="K3" s="27">
        <v>76</v>
      </c>
      <c r="L3" s="27">
        <v>76</v>
      </c>
      <c r="M3" s="27">
        <v>76</v>
      </c>
      <c r="N3" s="27">
        <v>76</v>
      </c>
      <c r="O3" s="27">
        <v>76</v>
      </c>
      <c r="P3" s="27">
        <v>76</v>
      </c>
      <c r="Q3" s="27">
        <v>76</v>
      </c>
      <c r="R3" s="27">
        <v>76</v>
      </c>
      <c r="S3" s="27">
        <v>76</v>
      </c>
      <c r="T3" s="27">
        <v>76</v>
      </c>
      <c r="U3" s="27">
        <v>76</v>
      </c>
      <c r="V3" s="27">
        <v>76</v>
      </c>
      <c r="W3" s="27">
        <v>76</v>
      </c>
      <c r="X3" s="27">
        <v>76</v>
      </c>
      <c r="Y3" s="27">
        <v>76</v>
      </c>
      <c r="Z3" s="27">
        <v>76</v>
      </c>
      <c r="AA3" s="27">
        <v>76</v>
      </c>
      <c r="AB3" s="27">
        <v>76</v>
      </c>
      <c r="AC3" s="27">
        <v>76</v>
      </c>
      <c r="AD3" s="27">
        <v>76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>
        <v>0</v>
      </c>
      <c r="AD4" s="32">
        <v>0</v>
      </c>
      <c r="AE4" s="32"/>
      <c r="AF4" s="32"/>
      <c r="AG4" s="32"/>
    </row>
    <row r="5" spans="1:33">
      <c r="A5" s="4" t="s">
        <v>2</v>
      </c>
      <c r="B5" s="5">
        <f>+B3-B4</f>
        <v>2128</v>
      </c>
      <c r="C5" s="5">
        <f t="shared" ref="C5:AG5" si="1">+C3-C4</f>
        <v>76</v>
      </c>
      <c r="D5" s="5">
        <f t="shared" si="1"/>
        <v>76</v>
      </c>
      <c r="E5" s="5">
        <f t="shared" si="1"/>
        <v>76</v>
      </c>
      <c r="F5" s="5">
        <f t="shared" si="1"/>
        <v>76</v>
      </c>
      <c r="G5" s="5">
        <f t="shared" si="1"/>
        <v>76</v>
      </c>
      <c r="H5" s="5">
        <f t="shared" si="1"/>
        <v>76</v>
      </c>
      <c r="I5" s="5">
        <f t="shared" si="1"/>
        <v>76</v>
      </c>
      <c r="J5" s="5">
        <f t="shared" si="1"/>
        <v>76</v>
      </c>
      <c r="K5" s="5">
        <f t="shared" si="1"/>
        <v>76</v>
      </c>
      <c r="L5" s="5">
        <f t="shared" si="1"/>
        <v>76</v>
      </c>
      <c r="M5" s="5">
        <f t="shared" si="1"/>
        <v>76</v>
      </c>
      <c r="N5" s="5">
        <f t="shared" si="1"/>
        <v>76</v>
      </c>
      <c r="O5" s="5">
        <f t="shared" si="1"/>
        <v>76</v>
      </c>
      <c r="P5" s="5">
        <f t="shared" si="1"/>
        <v>76</v>
      </c>
      <c r="Q5" s="5">
        <f t="shared" si="1"/>
        <v>76</v>
      </c>
      <c r="R5" s="5">
        <f t="shared" si="1"/>
        <v>76</v>
      </c>
      <c r="S5" s="5">
        <f t="shared" si="1"/>
        <v>76</v>
      </c>
      <c r="T5" s="5">
        <f t="shared" si="1"/>
        <v>76</v>
      </c>
      <c r="U5" s="5">
        <f t="shared" si="1"/>
        <v>76</v>
      </c>
      <c r="V5" s="5">
        <f t="shared" si="1"/>
        <v>76</v>
      </c>
      <c r="W5" s="5">
        <f t="shared" si="1"/>
        <v>76</v>
      </c>
      <c r="X5" s="5">
        <f t="shared" si="1"/>
        <v>76</v>
      </c>
      <c r="Y5" s="5">
        <f t="shared" si="1"/>
        <v>76</v>
      </c>
      <c r="Z5" s="5">
        <f t="shared" si="1"/>
        <v>76</v>
      </c>
      <c r="AA5" s="5">
        <f t="shared" si="1"/>
        <v>76</v>
      </c>
      <c r="AB5" s="5">
        <f t="shared" si="1"/>
        <v>76</v>
      </c>
      <c r="AC5" s="5">
        <f t="shared" si="1"/>
        <v>76</v>
      </c>
      <c r="AD5" s="5">
        <v>76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1679</v>
      </c>
      <c r="C6" s="34">
        <v>64</v>
      </c>
      <c r="D6" s="34">
        <v>64</v>
      </c>
      <c r="E6" s="34">
        <v>54</v>
      </c>
      <c r="F6" s="34">
        <v>62</v>
      </c>
      <c r="G6" s="34">
        <v>69</v>
      </c>
      <c r="H6" s="34">
        <v>56</v>
      </c>
      <c r="I6" s="34">
        <v>50</v>
      </c>
      <c r="J6" s="34">
        <v>70</v>
      </c>
      <c r="K6" s="34">
        <v>57</v>
      </c>
      <c r="L6" s="34">
        <v>65</v>
      </c>
      <c r="M6" s="34">
        <v>65</v>
      </c>
      <c r="N6" s="34">
        <v>64</v>
      </c>
      <c r="O6" s="34">
        <v>68</v>
      </c>
      <c r="P6" s="34">
        <v>70</v>
      </c>
      <c r="Q6" s="34">
        <v>63</v>
      </c>
      <c r="R6" s="34">
        <v>57</v>
      </c>
      <c r="S6" s="34">
        <v>65</v>
      </c>
      <c r="T6" s="34">
        <v>68</v>
      </c>
      <c r="U6" s="34">
        <v>61</v>
      </c>
      <c r="V6" s="34">
        <v>58</v>
      </c>
      <c r="W6" s="34">
        <v>68</v>
      </c>
      <c r="X6" s="34">
        <v>67</v>
      </c>
      <c r="Y6" s="34">
        <v>67</v>
      </c>
      <c r="Z6" s="34">
        <v>68</v>
      </c>
      <c r="AA6" s="34">
        <v>51</v>
      </c>
      <c r="AB6" s="34">
        <v>26</v>
      </c>
      <c r="AC6" s="34">
        <v>28</v>
      </c>
      <c r="AD6" s="34">
        <v>54</v>
      </c>
      <c r="AE6" s="34"/>
      <c r="AF6" s="34"/>
      <c r="AG6" s="34"/>
    </row>
    <row r="7" spans="1:33">
      <c r="A7" s="4" t="s">
        <v>4</v>
      </c>
      <c r="B7" s="7">
        <f>IF(B6=0,0,B6/B5)</f>
        <v>0.78900375939849621</v>
      </c>
      <c r="C7" s="7">
        <f t="shared" ref="C7:AG7" si="2">IF(C6=0,0,C6/C5)</f>
        <v>0.84210526315789469</v>
      </c>
      <c r="D7" s="7">
        <f t="shared" si="2"/>
        <v>0.84210526315789469</v>
      </c>
      <c r="E7" s="7">
        <f t="shared" si="2"/>
        <v>0.71052631578947367</v>
      </c>
      <c r="F7" s="7">
        <f t="shared" si="2"/>
        <v>0.81578947368421051</v>
      </c>
      <c r="G7" s="7">
        <f t="shared" si="2"/>
        <v>0.90789473684210531</v>
      </c>
      <c r="H7" s="7">
        <f t="shared" si="2"/>
        <v>0.73684210526315785</v>
      </c>
      <c r="I7" s="7">
        <f t="shared" si="2"/>
        <v>0.65789473684210531</v>
      </c>
      <c r="J7" s="7">
        <f t="shared" si="2"/>
        <v>0.92105263157894735</v>
      </c>
      <c r="K7" s="7">
        <f t="shared" si="2"/>
        <v>0.75</v>
      </c>
      <c r="L7" s="7">
        <f t="shared" si="2"/>
        <v>0.85526315789473684</v>
      </c>
      <c r="M7" s="7">
        <f t="shared" si="2"/>
        <v>0.85526315789473684</v>
      </c>
      <c r="N7" s="7">
        <f t="shared" si="2"/>
        <v>0.84210526315789469</v>
      </c>
      <c r="O7" s="7">
        <f t="shared" si="2"/>
        <v>0.89473684210526316</v>
      </c>
      <c r="P7" s="7">
        <f t="shared" si="2"/>
        <v>0.92105263157894735</v>
      </c>
      <c r="Q7" s="7">
        <f t="shared" si="2"/>
        <v>0.82894736842105265</v>
      </c>
      <c r="R7" s="7">
        <f t="shared" si="2"/>
        <v>0.75</v>
      </c>
      <c r="S7" s="7">
        <f t="shared" si="2"/>
        <v>0.85526315789473684</v>
      </c>
      <c r="T7" s="7">
        <f t="shared" si="2"/>
        <v>0.89473684210526316</v>
      </c>
      <c r="U7" s="7">
        <f t="shared" si="2"/>
        <v>0.80263157894736847</v>
      </c>
      <c r="V7" s="7">
        <f t="shared" si="2"/>
        <v>0.76315789473684215</v>
      </c>
      <c r="W7" s="7">
        <f t="shared" si="2"/>
        <v>0.89473684210526316</v>
      </c>
      <c r="X7" s="7">
        <f t="shared" si="2"/>
        <v>0.88157894736842102</v>
      </c>
      <c r="Y7" s="7">
        <f t="shared" si="2"/>
        <v>0.88157894736842102</v>
      </c>
      <c r="Z7" s="7">
        <f t="shared" si="2"/>
        <v>0.89473684210526316</v>
      </c>
      <c r="AA7" s="7">
        <f t="shared" si="2"/>
        <v>0.67105263157894735</v>
      </c>
      <c r="AB7" s="7">
        <f t="shared" si="2"/>
        <v>0.34210526315789475</v>
      </c>
      <c r="AC7" s="7">
        <f t="shared" si="2"/>
        <v>0.36842105263157893</v>
      </c>
      <c r="AD7" s="7">
        <f t="shared" si="2"/>
        <v>0.71052631578947367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693.72597974985092</v>
      </c>
      <c r="C8" s="6">
        <f t="shared" ref="C8:AG8" si="3">IF(C6=0,0,C11/C6)</f>
        <v>611.71828125000002</v>
      </c>
      <c r="D8" s="6">
        <f t="shared" si="3"/>
        <v>639.06203125000002</v>
      </c>
      <c r="E8" s="6">
        <f t="shared" si="3"/>
        <v>649.99944444444452</v>
      </c>
      <c r="F8" s="6">
        <f t="shared" si="3"/>
        <v>634.67693548387103</v>
      </c>
      <c r="G8" s="6">
        <f t="shared" si="3"/>
        <v>632.3669565217391</v>
      </c>
      <c r="H8" s="6">
        <f t="shared" si="3"/>
        <v>656.54714285714283</v>
      </c>
      <c r="I8" s="6">
        <f t="shared" si="3"/>
        <v>675.33280000000002</v>
      </c>
      <c r="J8" s="6">
        <f t="shared" si="3"/>
        <v>663.09485714285711</v>
      </c>
      <c r="K8" s="6">
        <f t="shared" si="3"/>
        <v>645.90596491228064</v>
      </c>
      <c r="L8" s="6">
        <f t="shared" si="3"/>
        <v>779.48676923076926</v>
      </c>
      <c r="M8" s="6">
        <f t="shared" si="3"/>
        <v>779.48676923076926</v>
      </c>
      <c r="N8" s="6">
        <f t="shared" si="3"/>
        <v>791.66624999999999</v>
      </c>
      <c r="O8" s="6">
        <f t="shared" si="3"/>
        <v>792.15647058823527</v>
      </c>
      <c r="P8" s="6">
        <f t="shared" si="3"/>
        <v>766.66628571428566</v>
      </c>
      <c r="Q8" s="6">
        <f t="shared" si="3"/>
        <v>766.13714285714286</v>
      </c>
      <c r="R8" s="6">
        <f t="shared" si="3"/>
        <v>750.29192982456141</v>
      </c>
      <c r="S8" s="6">
        <f t="shared" si="3"/>
        <v>700.25599999999997</v>
      </c>
      <c r="T8" s="6">
        <f t="shared" si="3"/>
        <v>680.39176470588234</v>
      </c>
      <c r="U8" s="6">
        <f t="shared" si="3"/>
        <v>687.97770491803283</v>
      </c>
      <c r="V8" s="6">
        <f t="shared" si="3"/>
        <v>683.04551724137934</v>
      </c>
      <c r="W8" s="6">
        <f t="shared" si="3"/>
        <v>645.09764705882355</v>
      </c>
      <c r="X8" s="6">
        <f t="shared" si="3"/>
        <v>699.50208955223877</v>
      </c>
      <c r="Y8" s="6">
        <f t="shared" si="3"/>
        <v>721.14388059701491</v>
      </c>
      <c r="Z8" s="6">
        <f t="shared" si="3"/>
        <v>662.74470588235295</v>
      </c>
      <c r="AA8" s="6">
        <f t="shared" si="3"/>
        <v>651.30666666666662</v>
      </c>
      <c r="AB8" s="6">
        <f t="shared" si="3"/>
        <v>675.64</v>
      </c>
      <c r="AC8" s="6">
        <f t="shared" si="3"/>
        <v>666.66571428571422</v>
      </c>
      <c r="AD8" s="6">
        <f t="shared" si="3"/>
        <v>654.9377777777778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547.35240601503745</v>
      </c>
      <c r="C9" s="6">
        <f t="shared" ref="C9:AG9" si="4">IF(C11=0,0,C11/C3)</f>
        <v>515.13118421052638</v>
      </c>
      <c r="D9" s="6">
        <f t="shared" si="4"/>
        <v>538.15750000000003</v>
      </c>
      <c r="E9" s="6">
        <f t="shared" si="4"/>
        <v>461.84171052631581</v>
      </c>
      <c r="F9" s="6">
        <f t="shared" si="4"/>
        <v>517.76276315789471</v>
      </c>
      <c r="G9" s="6">
        <f t="shared" si="4"/>
        <v>574.12263157894733</v>
      </c>
      <c r="H9" s="6">
        <f t="shared" si="4"/>
        <v>483.77157894736843</v>
      </c>
      <c r="I9" s="6">
        <f t="shared" si="4"/>
        <v>444.29789473684212</v>
      </c>
      <c r="J9" s="6">
        <f t="shared" si="4"/>
        <v>610.74526315789478</v>
      </c>
      <c r="K9" s="6">
        <f t="shared" si="4"/>
        <v>484.42947368421051</v>
      </c>
      <c r="L9" s="6">
        <f t="shared" si="4"/>
        <v>666.66631578947363</v>
      </c>
      <c r="M9" s="6">
        <f t="shared" si="4"/>
        <v>666.66631578947363</v>
      </c>
      <c r="N9" s="6">
        <f t="shared" si="4"/>
        <v>666.66631578947363</v>
      </c>
      <c r="O9" s="6">
        <f t="shared" si="4"/>
        <v>708.77157894736843</v>
      </c>
      <c r="P9" s="6">
        <f t="shared" si="4"/>
        <v>706.14</v>
      </c>
      <c r="Q9" s="6">
        <f t="shared" si="4"/>
        <v>635.08736842105259</v>
      </c>
      <c r="R9" s="6">
        <f t="shared" si="4"/>
        <v>562.71894736842103</v>
      </c>
      <c r="S9" s="6">
        <f t="shared" si="4"/>
        <v>598.90315789473686</v>
      </c>
      <c r="T9" s="6">
        <f t="shared" si="4"/>
        <v>608.77157894736843</v>
      </c>
      <c r="U9" s="6">
        <f t="shared" si="4"/>
        <v>552.19263157894738</v>
      </c>
      <c r="V9" s="6">
        <f t="shared" si="4"/>
        <v>521.27157894736843</v>
      </c>
      <c r="W9" s="6">
        <f t="shared" si="4"/>
        <v>577.19263157894738</v>
      </c>
      <c r="X9" s="6">
        <f t="shared" si="4"/>
        <v>616.66631578947363</v>
      </c>
      <c r="Y9" s="6">
        <f t="shared" si="4"/>
        <v>635.74526315789478</v>
      </c>
      <c r="Z9" s="6">
        <f t="shared" si="4"/>
        <v>592.98210526315791</v>
      </c>
      <c r="AA9" s="6">
        <f t="shared" si="4"/>
        <v>437.06105263157895</v>
      </c>
      <c r="AB9" s="6">
        <f t="shared" si="4"/>
        <v>231.14</v>
      </c>
      <c r="AC9" s="6">
        <f t="shared" si="4"/>
        <v>245.61368421052632</v>
      </c>
      <c r="AD9" s="6">
        <f>IF(AD11=0,0,AD11/AD3)</f>
        <v>465.35052631578947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-36352.9</v>
      </c>
      <c r="D10" s="29">
        <f>C25</f>
        <v>-16402.830000000002</v>
      </c>
      <c r="E10" s="29">
        <f t="shared" ref="E10:AG10" si="5">D25</f>
        <v>-61602.86</v>
      </c>
      <c r="F10" s="29">
        <f t="shared" si="5"/>
        <v>-57222.89</v>
      </c>
      <c r="G10" s="29">
        <f t="shared" si="5"/>
        <v>-68772.92</v>
      </c>
      <c r="H10" s="29">
        <f t="shared" si="5"/>
        <v>-33839.599999999999</v>
      </c>
      <c r="I10" s="29">
        <f t="shared" si="5"/>
        <v>-40672.959999999999</v>
      </c>
      <c r="J10" s="29">
        <f t="shared" si="5"/>
        <v>-47606.32</v>
      </c>
      <c r="K10" s="29">
        <f t="shared" si="5"/>
        <v>-31789.68</v>
      </c>
      <c r="L10" s="29">
        <f t="shared" si="5"/>
        <v>-38773.040000000001</v>
      </c>
      <c r="M10" s="29">
        <f t="shared" si="5"/>
        <v>-201306.4</v>
      </c>
      <c r="N10" s="29">
        <f t="shared" si="5"/>
        <v>-138839.76</v>
      </c>
      <c r="O10" s="29">
        <f t="shared" si="5"/>
        <v>-27572.920000000013</v>
      </c>
      <c r="P10" s="29">
        <f t="shared" si="5"/>
        <v>16793.719999999987</v>
      </c>
      <c r="Q10" s="29">
        <f t="shared" si="5"/>
        <v>-17539.640000000014</v>
      </c>
      <c r="R10" s="29">
        <f t="shared" si="5"/>
        <v>11926.999999999985</v>
      </c>
      <c r="S10" s="29">
        <f t="shared" si="5"/>
        <v>-22406.360000000015</v>
      </c>
      <c r="T10" s="29">
        <f t="shared" si="5"/>
        <v>-3389.7200000000157</v>
      </c>
      <c r="U10" s="29">
        <f t="shared" si="5"/>
        <v>-623.0800000000163</v>
      </c>
      <c r="V10" s="29">
        <f t="shared" si="5"/>
        <v>25643.559999999983</v>
      </c>
      <c r="W10" s="29">
        <f t="shared" si="5"/>
        <v>-19139.800000000017</v>
      </c>
      <c r="X10" s="29">
        <f t="shared" si="5"/>
        <v>-3973.160000000018</v>
      </c>
      <c r="Y10" s="29">
        <f t="shared" si="5"/>
        <v>2693.4799999999814</v>
      </c>
      <c r="Z10" s="29">
        <f t="shared" si="5"/>
        <v>12810.119999999981</v>
      </c>
      <c r="AA10" s="29">
        <f t="shared" si="5"/>
        <v>9876.7599999999802</v>
      </c>
      <c r="AB10" s="29">
        <f t="shared" si="5"/>
        <v>-14306.60000000002</v>
      </c>
      <c r="AC10" s="42">
        <v>-52539.96</v>
      </c>
      <c r="AD10" s="42">
        <v>-52473.32</v>
      </c>
      <c r="AE10" s="29">
        <f t="shared" si="5"/>
        <v>-7606.68</v>
      </c>
      <c r="AF10" s="29">
        <f t="shared" si="5"/>
        <v>-7606.68</v>
      </c>
      <c r="AG10" s="29">
        <f t="shared" si="5"/>
        <v>-7606.68</v>
      </c>
    </row>
    <row r="11" spans="1:33">
      <c r="A11" s="4" t="s">
        <v>8</v>
      </c>
      <c r="B11" s="23">
        <f>SUM(C11:AG11)</f>
        <v>1164765.9199999997</v>
      </c>
      <c r="C11" s="23">
        <v>39149.97</v>
      </c>
      <c r="D11" s="23">
        <v>40899.97</v>
      </c>
      <c r="E11" s="23">
        <v>35099.97</v>
      </c>
      <c r="F11" s="23">
        <v>39349.97</v>
      </c>
      <c r="G11" s="23">
        <v>43633.32</v>
      </c>
      <c r="H11" s="23">
        <v>36766.639999999999</v>
      </c>
      <c r="I11" s="23">
        <v>33766.639999999999</v>
      </c>
      <c r="J11" s="23">
        <v>46416.639999999999</v>
      </c>
      <c r="K11" s="23">
        <v>36816.639999999999</v>
      </c>
      <c r="L11" s="23">
        <v>50666.64</v>
      </c>
      <c r="M11" s="23">
        <v>50666.64</v>
      </c>
      <c r="N11" s="23">
        <v>50666.64</v>
      </c>
      <c r="O11" s="23">
        <v>53866.64</v>
      </c>
      <c r="P11" s="23">
        <v>53666.64</v>
      </c>
      <c r="Q11" s="23">
        <v>48266.64</v>
      </c>
      <c r="R11" s="23">
        <v>42766.64</v>
      </c>
      <c r="S11" s="23">
        <v>45516.639999999999</v>
      </c>
      <c r="T11" s="23">
        <v>46266.64</v>
      </c>
      <c r="U11" s="23">
        <v>41966.64</v>
      </c>
      <c r="V11" s="23">
        <v>39616.639999999999</v>
      </c>
      <c r="W11" s="23">
        <v>43866.64</v>
      </c>
      <c r="X11" s="23">
        <v>46866.64</v>
      </c>
      <c r="Y11" s="23">
        <v>48316.639999999999</v>
      </c>
      <c r="Z11" s="23">
        <v>45066.64</v>
      </c>
      <c r="AA11" s="23">
        <v>33216.639999999999</v>
      </c>
      <c r="AB11" s="23">
        <v>17566.64</v>
      </c>
      <c r="AC11" s="43">
        <v>18666.64</v>
      </c>
      <c r="AD11" s="43">
        <v>35366.639999999999</v>
      </c>
      <c r="AE11" s="23"/>
      <c r="AF11" s="23"/>
      <c r="AG11" s="23"/>
    </row>
    <row r="12" spans="1:33">
      <c r="A12" s="4" t="s">
        <v>9</v>
      </c>
      <c r="B12" s="23">
        <f>SUM(C12:AG12)</f>
        <v>299250</v>
      </c>
      <c r="C12" s="23">
        <v>11300</v>
      </c>
      <c r="D12" s="23">
        <v>11200</v>
      </c>
      <c r="E12" s="23">
        <v>9300</v>
      </c>
      <c r="F12" s="23">
        <v>10700</v>
      </c>
      <c r="G12" s="23">
        <v>12300</v>
      </c>
      <c r="H12" s="23">
        <v>9800</v>
      </c>
      <c r="I12" s="23">
        <v>8900</v>
      </c>
      <c r="J12" s="23">
        <v>12800</v>
      </c>
      <c r="K12" s="23">
        <v>10000</v>
      </c>
      <c r="L12" s="23">
        <v>12480</v>
      </c>
      <c r="M12" s="23">
        <v>11800</v>
      </c>
      <c r="N12" s="23">
        <v>11600</v>
      </c>
      <c r="O12" s="23">
        <v>12200</v>
      </c>
      <c r="P12" s="23">
        <v>12600</v>
      </c>
      <c r="Q12" s="23">
        <v>11100</v>
      </c>
      <c r="R12" s="23">
        <v>8900</v>
      </c>
      <c r="S12" s="23">
        <v>11600</v>
      </c>
      <c r="T12" s="23">
        <v>12100</v>
      </c>
      <c r="U12" s="23">
        <v>10800</v>
      </c>
      <c r="V12" s="23">
        <v>10200</v>
      </c>
      <c r="W12" s="23">
        <v>12100</v>
      </c>
      <c r="X12" s="23">
        <v>12000</v>
      </c>
      <c r="Y12" s="23">
        <v>11800</v>
      </c>
      <c r="Z12" s="23">
        <v>12500</v>
      </c>
      <c r="AA12" s="23">
        <v>11170</v>
      </c>
      <c r="AB12" s="23">
        <v>3800</v>
      </c>
      <c r="AC12" s="43">
        <v>4700</v>
      </c>
      <c r="AD12" s="43">
        <v>9500</v>
      </c>
      <c r="AE12" s="23"/>
      <c r="AF12" s="23"/>
      <c r="AG12" s="23"/>
    </row>
    <row r="13" spans="1:33">
      <c r="A13" s="8" t="s">
        <v>10</v>
      </c>
      <c r="B13" s="23">
        <f>SUM(C13:AG13)</f>
        <v>24749.300000000003</v>
      </c>
      <c r="C13" s="24">
        <v>1000.1</v>
      </c>
      <c r="D13" s="24">
        <v>806</v>
      </c>
      <c r="E13" s="24">
        <v>5860</v>
      </c>
      <c r="F13" s="24"/>
      <c r="G13" s="24">
        <v>5431</v>
      </c>
      <c r="H13" s="24">
        <v>1100</v>
      </c>
      <c r="I13" s="24"/>
      <c r="J13" s="24"/>
      <c r="K13" s="23">
        <v>803</v>
      </c>
      <c r="L13" s="23">
        <v>500</v>
      </c>
      <c r="M13" s="23"/>
      <c r="N13" s="23">
        <v>500.2</v>
      </c>
      <c r="O13" s="23"/>
      <c r="P13" s="23"/>
      <c r="Q13" s="23"/>
      <c r="R13" s="23"/>
      <c r="S13" s="23"/>
      <c r="T13" s="23">
        <v>-600</v>
      </c>
      <c r="U13" s="23"/>
      <c r="V13" s="23">
        <v>4701</v>
      </c>
      <c r="W13" s="23">
        <v>5048</v>
      </c>
      <c r="X13" s="23"/>
      <c r="Y13" s="23">
        <v>-400</v>
      </c>
      <c r="Z13" s="23"/>
      <c r="AA13" s="23"/>
      <c r="AB13" s="23"/>
      <c r="AC13" s="43"/>
      <c r="AD13" s="4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1488765.2199999997</v>
      </c>
      <c r="C14" s="18">
        <f>SUM(C11:C13)</f>
        <v>51450.07</v>
      </c>
      <c r="D14" s="18">
        <f t="shared" ref="D14:AG14" si="6">SUM(D11:D13)</f>
        <v>52905.97</v>
      </c>
      <c r="E14" s="18">
        <f t="shared" si="6"/>
        <v>50259.97</v>
      </c>
      <c r="F14" s="18">
        <f t="shared" si="6"/>
        <v>50049.97</v>
      </c>
      <c r="G14" s="18">
        <f t="shared" si="6"/>
        <v>61364.32</v>
      </c>
      <c r="H14" s="18">
        <f t="shared" si="6"/>
        <v>47666.64</v>
      </c>
      <c r="I14" s="18">
        <f t="shared" si="6"/>
        <v>42666.64</v>
      </c>
      <c r="J14" s="18">
        <f t="shared" si="6"/>
        <v>59216.639999999999</v>
      </c>
      <c r="K14" s="18">
        <f t="shared" si="6"/>
        <v>47619.64</v>
      </c>
      <c r="L14" s="18">
        <f t="shared" si="6"/>
        <v>63646.64</v>
      </c>
      <c r="M14" s="18">
        <f t="shared" si="6"/>
        <v>62466.64</v>
      </c>
      <c r="N14" s="18">
        <f t="shared" si="6"/>
        <v>62766.84</v>
      </c>
      <c r="O14" s="18">
        <f t="shared" si="6"/>
        <v>66066.64</v>
      </c>
      <c r="P14" s="18">
        <f t="shared" si="6"/>
        <v>66266.64</v>
      </c>
      <c r="Q14" s="18">
        <f t="shared" si="6"/>
        <v>59366.64</v>
      </c>
      <c r="R14" s="18">
        <f t="shared" si="6"/>
        <v>51666.64</v>
      </c>
      <c r="S14" s="18">
        <f t="shared" si="6"/>
        <v>57116.639999999999</v>
      </c>
      <c r="T14" s="18">
        <f t="shared" si="6"/>
        <v>57766.64</v>
      </c>
      <c r="U14" s="18">
        <f t="shared" si="6"/>
        <v>52766.64</v>
      </c>
      <c r="V14" s="18">
        <f t="shared" si="6"/>
        <v>54517.64</v>
      </c>
      <c r="W14" s="18">
        <f t="shared" si="6"/>
        <v>61014.64</v>
      </c>
      <c r="X14" s="18">
        <f t="shared" si="6"/>
        <v>58866.64</v>
      </c>
      <c r="Y14" s="18">
        <f t="shared" si="6"/>
        <v>59716.639999999999</v>
      </c>
      <c r="Z14" s="18">
        <f t="shared" si="6"/>
        <v>57566.64</v>
      </c>
      <c r="AA14" s="18">
        <f t="shared" si="6"/>
        <v>44386.64</v>
      </c>
      <c r="AB14" s="18">
        <f t="shared" si="6"/>
        <v>21366.639999999999</v>
      </c>
      <c r="AC14" s="44">
        <f t="shared" si="6"/>
        <v>23366.639999999999</v>
      </c>
      <c r="AD14" s="44">
        <f t="shared" si="6"/>
        <v>44866.64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322571</v>
      </c>
      <c r="C15" s="23">
        <v>2700</v>
      </c>
      <c r="D15" s="23">
        <v>28806</v>
      </c>
      <c r="E15" s="23">
        <v>19480</v>
      </c>
      <c r="F15" s="23">
        <v>39200</v>
      </c>
      <c r="G15" s="23">
        <v>18431</v>
      </c>
      <c r="H15" s="23">
        <v>20100</v>
      </c>
      <c r="I15" s="23">
        <v>2000</v>
      </c>
      <c r="J15" s="23">
        <v>12000</v>
      </c>
      <c r="K15" s="23">
        <v>13803</v>
      </c>
      <c r="L15" s="23">
        <v>4680</v>
      </c>
      <c r="M15" s="23"/>
      <c r="N15" s="23">
        <v>1500</v>
      </c>
      <c r="O15" s="23">
        <v>2500</v>
      </c>
      <c r="P15" s="23">
        <v>7600</v>
      </c>
      <c r="Q15" s="23">
        <v>2500</v>
      </c>
      <c r="R15" s="23">
        <v>2000</v>
      </c>
      <c r="S15" s="23">
        <v>18500</v>
      </c>
      <c r="T15" s="23">
        <v>2000</v>
      </c>
      <c r="U15" s="23">
        <v>1000</v>
      </c>
      <c r="V15" s="23">
        <v>36201</v>
      </c>
      <c r="W15" s="23">
        <v>1500</v>
      </c>
      <c r="X15" s="23">
        <v>3000</v>
      </c>
      <c r="Y15" s="23">
        <v>2000</v>
      </c>
      <c r="Z15" s="23">
        <v>4500</v>
      </c>
      <c r="AA15" s="23">
        <v>54170</v>
      </c>
      <c r="AB15" s="23">
        <v>20700</v>
      </c>
      <c r="AC15" s="43">
        <v>1700</v>
      </c>
      <c r="AD15" s="43"/>
      <c r="AE15" s="23"/>
      <c r="AF15" s="23"/>
      <c r="AG15" s="23"/>
    </row>
    <row r="16" spans="1:33">
      <c r="A16" s="16" t="s">
        <v>16</v>
      </c>
      <c r="B16" s="23">
        <f t="shared" si="7"/>
        <v>18948</v>
      </c>
      <c r="C16" s="23"/>
      <c r="D16" s="23"/>
      <c r="E16" s="23">
        <v>12000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>
        <v>1000</v>
      </c>
      <c r="R16" s="23"/>
      <c r="S16" s="23"/>
      <c r="T16" s="23"/>
      <c r="U16" s="23"/>
      <c r="V16" s="23"/>
      <c r="W16" s="23">
        <v>5048</v>
      </c>
      <c r="X16" s="23"/>
      <c r="Y16" s="23"/>
      <c r="Z16" s="23"/>
      <c r="AA16" s="23"/>
      <c r="AB16" s="23">
        <v>900</v>
      </c>
      <c r="AC16" s="43"/>
      <c r="AD16" s="43"/>
      <c r="AE16" s="23"/>
      <c r="AF16" s="23"/>
      <c r="AG16" s="23"/>
    </row>
    <row r="17" spans="1:33">
      <c r="A17" s="16" t="s">
        <v>17</v>
      </c>
      <c r="B17" s="23">
        <f t="shared" si="7"/>
        <v>50200</v>
      </c>
      <c r="C17" s="23">
        <v>23800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2400</v>
      </c>
      <c r="Z17" s="23">
        <v>24000</v>
      </c>
      <c r="AA17" s="23"/>
      <c r="AB17" s="23"/>
      <c r="AC17" s="43"/>
      <c r="AD17" s="4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43"/>
      <c r="AD18" s="4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43"/>
      <c r="AD19" s="4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43"/>
      <c r="AD20" s="43"/>
      <c r="AE20" s="23"/>
      <c r="AF20" s="23"/>
      <c r="AG20" s="23"/>
    </row>
    <row r="21" spans="1:33">
      <c r="A21" s="16" t="s">
        <v>21</v>
      </c>
      <c r="B21" s="23">
        <f t="shared" si="7"/>
        <v>448900</v>
      </c>
      <c r="C21" s="23">
        <v>5000</v>
      </c>
      <c r="D21" s="23">
        <v>69300</v>
      </c>
      <c r="E21" s="23">
        <v>14400</v>
      </c>
      <c r="F21" s="23">
        <v>22400</v>
      </c>
      <c r="G21" s="23">
        <v>8000</v>
      </c>
      <c r="H21" s="23">
        <v>34400</v>
      </c>
      <c r="I21" s="23"/>
      <c r="J21" s="23">
        <v>14400</v>
      </c>
      <c r="K21" s="23"/>
      <c r="L21" s="23">
        <v>46000</v>
      </c>
      <c r="M21" s="23"/>
      <c r="N21" s="23"/>
      <c r="O21" s="23">
        <v>19200</v>
      </c>
      <c r="P21" s="23">
        <v>-5000</v>
      </c>
      <c r="Q21" s="23">
        <v>18400</v>
      </c>
      <c r="R21" s="23"/>
      <c r="S21" s="23">
        <v>19600</v>
      </c>
      <c r="T21" s="23"/>
      <c r="U21" s="23"/>
      <c r="V21" s="23">
        <v>24000</v>
      </c>
      <c r="W21" s="23">
        <v>24000</v>
      </c>
      <c r="X21" s="23">
        <v>28800</v>
      </c>
      <c r="Y21" s="23"/>
      <c r="Z21" s="23">
        <v>32000</v>
      </c>
      <c r="AA21" s="23">
        <v>14400</v>
      </c>
      <c r="AB21" s="23">
        <v>38000</v>
      </c>
      <c r="AC21" s="43">
        <v>21600</v>
      </c>
      <c r="AD21" s="4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43"/>
      <c r="AD22" s="43"/>
      <c r="AE22" s="23"/>
      <c r="AF22" s="23"/>
      <c r="AG22" s="23"/>
    </row>
    <row r="23" spans="1:33">
      <c r="A23" s="17" t="s">
        <v>25</v>
      </c>
      <c r="B23" s="23">
        <f t="shared" si="7"/>
        <v>619400</v>
      </c>
      <c r="C23" s="24"/>
      <c r="D23" s="24"/>
      <c r="E23" s="24"/>
      <c r="F23" s="24"/>
      <c r="G23" s="24"/>
      <c r="H23" s="24"/>
      <c r="I23" s="24">
        <v>47600</v>
      </c>
      <c r="J23" s="24">
        <v>17000</v>
      </c>
      <c r="K23" s="24">
        <v>40800</v>
      </c>
      <c r="L23" s="24">
        <v>175500</v>
      </c>
      <c r="M23" s="24"/>
      <c r="N23" s="24">
        <v>-50000</v>
      </c>
      <c r="O23" s="24"/>
      <c r="P23" s="24">
        <f>661000+50000-613000</f>
        <v>98000</v>
      </c>
      <c r="Q23" s="24">
        <f>290500-282500</f>
        <v>8000</v>
      </c>
      <c r="R23" s="24">
        <f>986000-902000</f>
        <v>84000</v>
      </c>
      <c r="S23" s="24"/>
      <c r="T23" s="24">
        <f>369800-316800</f>
        <v>53000</v>
      </c>
      <c r="U23" s="24">
        <f>145500-120000</f>
        <v>25500</v>
      </c>
      <c r="V23" s="24">
        <f>217900-178800</f>
        <v>39100</v>
      </c>
      <c r="W23" s="24">
        <f>80900-65600</f>
        <v>15300</v>
      </c>
      <c r="X23" s="24">
        <f>65600-45200</f>
        <v>20400</v>
      </c>
      <c r="Y23" s="24">
        <f>58100-12900</f>
        <v>45200</v>
      </c>
      <c r="Z23" s="24"/>
      <c r="AA23" s="24"/>
      <c r="AB23" s="24"/>
      <c r="AC23" s="39"/>
      <c r="AD23" s="39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1460019</v>
      </c>
      <c r="C24" s="19">
        <f>SUM(C15:C23)</f>
        <v>31500</v>
      </c>
      <c r="D24" s="19">
        <f t="shared" ref="D24:U24" si="8">SUM(D15:D23)</f>
        <v>98106</v>
      </c>
      <c r="E24" s="19">
        <f t="shared" si="8"/>
        <v>45880</v>
      </c>
      <c r="F24" s="19">
        <f t="shared" si="8"/>
        <v>61600</v>
      </c>
      <c r="G24" s="19">
        <f t="shared" si="8"/>
        <v>26431</v>
      </c>
      <c r="H24" s="19">
        <f t="shared" si="8"/>
        <v>54500</v>
      </c>
      <c r="I24" s="19">
        <f t="shared" si="8"/>
        <v>49600</v>
      </c>
      <c r="J24" s="19">
        <f t="shared" si="8"/>
        <v>43400</v>
      </c>
      <c r="K24" s="19">
        <f t="shared" si="8"/>
        <v>54603</v>
      </c>
      <c r="L24" s="19">
        <f t="shared" si="8"/>
        <v>226180</v>
      </c>
      <c r="M24" s="19">
        <f t="shared" si="8"/>
        <v>0</v>
      </c>
      <c r="N24" s="19">
        <f t="shared" si="8"/>
        <v>-48500</v>
      </c>
      <c r="O24" s="19">
        <f t="shared" si="8"/>
        <v>21700</v>
      </c>
      <c r="P24" s="19">
        <f t="shared" si="8"/>
        <v>100600</v>
      </c>
      <c r="Q24" s="19">
        <f t="shared" si="8"/>
        <v>29900</v>
      </c>
      <c r="R24" s="19">
        <f t="shared" si="8"/>
        <v>86000</v>
      </c>
      <c r="S24" s="19">
        <f t="shared" si="8"/>
        <v>38100</v>
      </c>
      <c r="T24" s="19">
        <f t="shared" si="8"/>
        <v>55000</v>
      </c>
      <c r="U24" s="19">
        <f t="shared" si="8"/>
        <v>26500</v>
      </c>
      <c r="V24" s="19">
        <f>SUM(V15:V23)</f>
        <v>99301</v>
      </c>
      <c r="W24" s="19">
        <f t="shared" ref="W24:AG24" si="9">SUM(W15:W23)</f>
        <v>45848</v>
      </c>
      <c r="X24" s="19">
        <f t="shared" si="9"/>
        <v>52200</v>
      </c>
      <c r="Y24" s="19">
        <f t="shared" si="9"/>
        <v>49600</v>
      </c>
      <c r="Z24" s="19">
        <f t="shared" si="9"/>
        <v>60500</v>
      </c>
      <c r="AA24" s="19">
        <f t="shared" si="9"/>
        <v>68570</v>
      </c>
      <c r="AB24" s="19">
        <f t="shared" si="9"/>
        <v>59600</v>
      </c>
      <c r="AC24" s="45">
        <f t="shared" si="9"/>
        <v>23300</v>
      </c>
      <c r="AD24" s="45">
        <f t="shared" si="9"/>
        <v>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28746.219999999739</v>
      </c>
      <c r="C25" s="20">
        <f>C10+C14-C24</f>
        <v>-16402.830000000002</v>
      </c>
      <c r="D25" s="20">
        <f t="shared" ref="D25:AG25" si="10">D10+D14-D24</f>
        <v>-61602.86</v>
      </c>
      <c r="E25" s="20">
        <f t="shared" si="10"/>
        <v>-57222.89</v>
      </c>
      <c r="F25" s="20">
        <f t="shared" si="10"/>
        <v>-68772.92</v>
      </c>
      <c r="G25" s="20">
        <f t="shared" si="10"/>
        <v>-33839.599999999999</v>
      </c>
      <c r="H25" s="20">
        <f t="shared" si="10"/>
        <v>-40672.959999999999</v>
      </c>
      <c r="I25" s="20">
        <f t="shared" si="10"/>
        <v>-47606.32</v>
      </c>
      <c r="J25" s="20">
        <f t="shared" si="10"/>
        <v>-31789.68</v>
      </c>
      <c r="K25" s="20">
        <f t="shared" si="10"/>
        <v>-38773.040000000001</v>
      </c>
      <c r="L25" s="20">
        <f t="shared" si="10"/>
        <v>-201306.4</v>
      </c>
      <c r="M25" s="20">
        <f t="shared" si="10"/>
        <v>-138839.76</v>
      </c>
      <c r="N25" s="20">
        <f t="shared" si="10"/>
        <v>-27572.920000000013</v>
      </c>
      <c r="O25" s="20">
        <f t="shared" si="10"/>
        <v>16793.719999999987</v>
      </c>
      <c r="P25" s="20">
        <f t="shared" si="10"/>
        <v>-17539.640000000014</v>
      </c>
      <c r="Q25" s="20">
        <f t="shared" si="10"/>
        <v>11926.999999999985</v>
      </c>
      <c r="R25" s="20">
        <f t="shared" si="10"/>
        <v>-22406.360000000015</v>
      </c>
      <c r="S25" s="20">
        <f t="shared" si="10"/>
        <v>-3389.7200000000157</v>
      </c>
      <c r="T25" s="20">
        <f t="shared" si="10"/>
        <v>-623.0800000000163</v>
      </c>
      <c r="U25" s="20">
        <f t="shared" si="10"/>
        <v>25643.559999999983</v>
      </c>
      <c r="V25" s="20">
        <f t="shared" si="10"/>
        <v>-19139.800000000017</v>
      </c>
      <c r="W25" s="20">
        <f t="shared" si="10"/>
        <v>-3973.160000000018</v>
      </c>
      <c r="X25" s="20">
        <f t="shared" si="10"/>
        <v>2693.4799999999814</v>
      </c>
      <c r="Y25" s="20">
        <f t="shared" si="10"/>
        <v>12810.119999999981</v>
      </c>
      <c r="Z25" s="20">
        <f t="shared" si="10"/>
        <v>9876.7599999999802</v>
      </c>
      <c r="AA25" s="20">
        <f t="shared" si="10"/>
        <v>-14306.60000000002</v>
      </c>
      <c r="AB25" s="20">
        <f t="shared" si="10"/>
        <v>-52539.960000000021</v>
      </c>
      <c r="AC25" s="46">
        <f t="shared" si="10"/>
        <v>-52473.32</v>
      </c>
      <c r="AD25" s="46">
        <f t="shared" si="10"/>
        <v>-7606.68</v>
      </c>
      <c r="AE25" s="20">
        <f t="shared" si="10"/>
        <v>-7606.68</v>
      </c>
      <c r="AF25" s="20">
        <f t="shared" si="10"/>
        <v>-7606.68</v>
      </c>
      <c r="AG25" s="20">
        <f t="shared" si="10"/>
        <v>-7606.68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38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1736</v>
      </c>
      <c r="C3" s="27">
        <v>62</v>
      </c>
      <c r="D3" s="27">
        <v>62</v>
      </c>
      <c r="E3" s="27">
        <v>62</v>
      </c>
      <c r="F3" s="27">
        <v>62</v>
      </c>
      <c r="G3" s="27">
        <v>62</v>
      </c>
      <c r="H3" s="27">
        <v>62</v>
      </c>
      <c r="I3" s="27">
        <v>62</v>
      </c>
      <c r="J3" s="27">
        <v>62</v>
      </c>
      <c r="K3" s="27">
        <v>62</v>
      </c>
      <c r="L3" s="27">
        <v>62</v>
      </c>
      <c r="M3" s="27">
        <v>62</v>
      </c>
      <c r="N3" s="27">
        <v>62</v>
      </c>
      <c r="O3" s="27">
        <v>62</v>
      </c>
      <c r="P3" s="27">
        <v>62</v>
      </c>
      <c r="Q3" s="27">
        <v>62</v>
      </c>
      <c r="R3" s="27">
        <v>62</v>
      </c>
      <c r="S3" s="27">
        <v>62</v>
      </c>
      <c r="T3" s="27">
        <v>62</v>
      </c>
      <c r="U3" s="27">
        <v>62</v>
      </c>
      <c r="V3" s="27">
        <v>62</v>
      </c>
      <c r="W3" s="27">
        <v>62</v>
      </c>
      <c r="X3" s="27">
        <v>62</v>
      </c>
      <c r="Y3" s="27">
        <v>62</v>
      </c>
      <c r="Z3" s="27">
        <v>62</v>
      </c>
      <c r="AA3" s="27">
        <v>62</v>
      </c>
      <c r="AB3" s="27">
        <v>62</v>
      </c>
      <c r="AC3" s="27">
        <v>62</v>
      </c>
      <c r="AD3" s="27">
        <v>62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1736</v>
      </c>
      <c r="C5" s="5">
        <f t="shared" ref="C5:AG5" si="1">+C3-C4</f>
        <v>62</v>
      </c>
      <c r="D5" s="5">
        <f t="shared" si="1"/>
        <v>62</v>
      </c>
      <c r="E5" s="5">
        <f t="shared" si="1"/>
        <v>62</v>
      </c>
      <c r="F5" s="5">
        <f t="shared" si="1"/>
        <v>62</v>
      </c>
      <c r="G5" s="5">
        <f t="shared" si="1"/>
        <v>62</v>
      </c>
      <c r="H5" s="5">
        <f t="shared" si="1"/>
        <v>62</v>
      </c>
      <c r="I5" s="5">
        <f t="shared" si="1"/>
        <v>62</v>
      </c>
      <c r="J5" s="5">
        <f t="shared" si="1"/>
        <v>62</v>
      </c>
      <c r="K5" s="5">
        <f t="shared" si="1"/>
        <v>62</v>
      </c>
      <c r="L5" s="5">
        <f t="shared" si="1"/>
        <v>62</v>
      </c>
      <c r="M5" s="5">
        <f t="shared" si="1"/>
        <v>62</v>
      </c>
      <c r="N5" s="5">
        <f t="shared" si="1"/>
        <v>62</v>
      </c>
      <c r="O5" s="5">
        <f t="shared" si="1"/>
        <v>62</v>
      </c>
      <c r="P5" s="5">
        <f t="shared" si="1"/>
        <v>62</v>
      </c>
      <c r="Q5" s="5">
        <f t="shared" si="1"/>
        <v>62</v>
      </c>
      <c r="R5" s="5">
        <f t="shared" si="1"/>
        <v>62</v>
      </c>
      <c r="S5" s="5">
        <f t="shared" si="1"/>
        <v>62</v>
      </c>
      <c r="T5" s="5">
        <f t="shared" si="1"/>
        <v>62</v>
      </c>
      <c r="U5" s="5">
        <f t="shared" si="1"/>
        <v>62</v>
      </c>
      <c r="V5" s="5">
        <f t="shared" si="1"/>
        <v>62</v>
      </c>
      <c r="W5" s="5">
        <f t="shared" si="1"/>
        <v>62</v>
      </c>
      <c r="X5" s="5">
        <f t="shared" si="1"/>
        <v>62</v>
      </c>
      <c r="Y5" s="5">
        <f t="shared" si="1"/>
        <v>62</v>
      </c>
      <c r="Z5" s="5">
        <f t="shared" si="1"/>
        <v>62</v>
      </c>
      <c r="AA5" s="5">
        <f t="shared" si="1"/>
        <v>62</v>
      </c>
      <c r="AB5" s="5">
        <f t="shared" si="1"/>
        <v>62</v>
      </c>
      <c r="AC5" s="5">
        <f t="shared" si="1"/>
        <v>62</v>
      </c>
      <c r="AD5" s="5">
        <f t="shared" si="1"/>
        <v>62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1681</v>
      </c>
      <c r="C6" s="34">
        <v>60</v>
      </c>
      <c r="D6" s="34">
        <v>61</v>
      </c>
      <c r="E6" s="34">
        <v>59</v>
      </c>
      <c r="F6" s="34">
        <v>60</v>
      </c>
      <c r="G6" s="34">
        <v>58</v>
      </c>
      <c r="H6" s="34">
        <v>56</v>
      </c>
      <c r="I6" s="34">
        <v>58</v>
      </c>
      <c r="J6" s="34">
        <v>57</v>
      </c>
      <c r="K6" s="34">
        <v>59</v>
      </c>
      <c r="L6" s="34">
        <v>57</v>
      </c>
      <c r="M6" s="34">
        <v>58</v>
      </c>
      <c r="N6" s="34">
        <v>58</v>
      </c>
      <c r="O6" s="34">
        <v>60</v>
      </c>
      <c r="P6" s="34">
        <v>62</v>
      </c>
      <c r="Q6" s="34">
        <v>60</v>
      </c>
      <c r="R6" s="34">
        <v>61</v>
      </c>
      <c r="S6" s="34">
        <v>62</v>
      </c>
      <c r="T6" s="34">
        <v>62</v>
      </c>
      <c r="U6" s="34">
        <v>60</v>
      </c>
      <c r="V6" s="34">
        <v>62</v>
      </c>
      <c r="W6" s="34">
        <v>62</v>
      </c>
      <c r="X6" s="34">
        <v>61</v>
      </c>
      <c r="Y6" s="34">
        <v>62</v>
      </c>
      <c r="Z6" s="34">
        <v>62</v>
      </c>
      <c r="AA6" s="34">
        <v>62</v>
      </c>
      <c r="AB6" s="34">
        <v>59</v>
      </c>
      <c r="AC6" s="34">
        <v>62</v>
      </c>
      <c r="AD6" s="34">
        <v>61</v>
      </c>
      <c r="AE6" s="34"/>
      <c r="AF6" s="34"/>
      <c r="AG6" s="34"/>
    </row>
    <row r="7" spans="1:33">
      <c r="A7" s="4" t="s">
        <v>4</v>
      </c>
      <c r="B7" s="7">
        <f>IF(B6=0,0,B6/B5)</f>
        <v>0.96831797235023043</v>
      </c>
      <c r="C7" s="7">
        <f t="shared" ref="C7:AG7" si="2">IF(C6=0,0,C6/C5)</f>
        <v>0.967741935483871</v>
      </c>
      <c r="D7" s="7">
        <f t="shared" si="2"/>
        <v>0.9838709677419355</v>
      </c>
      <c r="E7" s="7">
        <f t="shared" si="2"/>
        <v>0.95161290322580649</v>
      </c>
      <c r="F7" s="7">
        <f t="shared" si="2"/>
        <v>0.967741935483871</v>
      </c>
      <c r="G7" s="7">
        <f t="shared" si="2"/>
        <v>0.93548387096774188</v>
      </c>
      <c r="H7" s="7">
        <f t="shared" si="2"/>
        <v>0.90322580645161288</v>
      </c>
      <c r="I7" s="7">
        <f t="shared" si="2"/>
        <v>0.93548387096774188</v>
      </c>
      <c r="J7" s="7">
        <f t="shared" si="2"/>
        <v>0.91935483870967738</v>
      </c>
      <c r="K7" s="7">
        <f t="shared" si="2"/>
        <v>0.95161290322580649</v>
      </c>
      <c r="L7" s="7">
        <f t="shared" si="2"/>
        <v>0.91935483870967738</v>
      </c>
      <c r="M7" s="7">
        <f t="shared" si="2"/>
        <v>0.93548387096774188</v>
      </c>
      <c r="N7" s="7">
        <f t="shared" si="2"/>
        <v>0.93548387096774188</v>
      </c>
      <c r="O7" s="7">
        <f t="shared" si="2"/>
        <v>0.967741935483871</v>
      </c>
      <c r="P7" s="7">
        <f t="shared" si="2"/>
        <v>1</v>
      </c>
      <c r="Q7" s="7">
        <f t="shared" si="2"/>
        <v>0.967741935483871</v>
      </c>
      <c r="R7" s="7">
        <f t="shared" si="2"/>
        <v>0.9838709677419355</v>
      </c>
      <c r="S7" s="7">
        <f t="shared" si="2"/>
        <v>1</v>
      </c>
      <c r="T7" s="7">
        <f t="shared" si="2"/>
        <v>1</v>
      </c>
      <c r="U7" s="7">
        <f t="shared" si="2"/>
        <v>0.967741935483871</v>
      </c>
      <c r="V7" s="7">
        <f t="shared" si="2"/>
        <v>1</v>
      </c>
      <c r="W7" s="7">
        <f t="shared" si="2"/>
        <v>1</v>
      </c>
      <c r="X7" s="7">
        <f t="shared" si="2"/>
        <v>0.9838709677419355</v>
      </c>
      <c r="Y7" s="7">
        <f t="shared" si="2"/>
        <v>1</v>
      </c>
      <c r="Z7" s="7">
        <f t="shared" si="2"/>
        <v>1</v>
      </c>
      <c r="AA7" s="7">
        <f t="shared" si="2"/>
        <v>1</v>
      </c>
      <c r="AB7" s="7">
        <f t="shared" si="2"/>
        <v>0.95161290322580649</v>
      </c>
      <c r="AC7" s="7">
        <f t="shared" si="2"/>
        <v>1</v>
      </c>
      <c r="AD7" s="7">
        <f t="shared" si="2"/>
        <v>0.9838709677419355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247.73565139797739</v>
      </c>
      <c r="C8" s="6">
        <f t="shared" ref="C8:AG8" si="3">IF(C6=0,0,C11/C6)</f>
        <v>237.774</v>
      </c>
      <c r="D8" s="6">
        <f t="shared" si="3"/>
        <v>245.35147540983607</v>
      </c>
      <c r="E8" s="6">
        <f t="shared" si="3"/>
        <v>231.63457627118646</v>
      </c>
      <c r="F8" s="6">
        <f t="shared" si="3"/>
        <v>244.16300000000001</v>
      </c>
      <c r="G8" s="6">
        <f t="shared" si="3"/>
        <v>231.89275862068968</v>
      </c>
      <c r="H8" s="6">
        <f t="shared" si="3"/>
        <v>235.71035714285716</v>
      </c>
      <c r="I8" s="6">
        <f t="shared" si="3"/>
        <v>250.85827586206898</v>
      </c>
      <c r="J8" s="6">
        <f t="shared" si="3"/>
        <v>236.83824561403509</v>
      </c>
      <c r="K8" s="6">
        <f t="shared" si="3"/>
        <v>272.87762711864406</v>
      </c>
      <c r="L8" s="6">
        <f t="shared" si="3"/>
        <v>236.83824561403509</v>
      </c>
      <c r="M8" s="6">
        <f t="shared" si="3"/>
        <v>255.16862068965517</v>
      </c>
      <c r="N8" s="6">
        <f t="shared" si="3"/>
        <v>232.75482758620691</v>
      </c>
      <c r="O8" s="6">
        <f t="shared" si="3"/>
        <v>238.88500000000002</v>
      </c>
      <c r="P8" s="6">
        <f t="shared" si="3"/>
        <v>251.60903225806453</v>
      </c>
      <c r="Q8" s="6">
        <f t="shared" si="3"/>
        <v>245.27383333333333</v>
      </c>
      <c r="R8" s="6">
        <f t="shared" si="3"/>
        <v>251.90868852459016</v>
      </c>
      <c r="S8" s="6">
        <f t="shared" si="3"/>
        <v>268.81338709677419</v>
      </c>
      <c r="T8" s="6">
        <f t="shared" si="3"/>
        <v>258.32951612903224</v>
      </c>
      <c r="U8" s="6">
        <f t="shared" si="3"/>
        <v>238.60716666666667</v>
      </c>
      <c r="V8" s="6">
        <f t="shared" si="3"/>
        <v>258.59838709677422</v>
      </c>
      <c r="W8" s="6">
        <f t="shared" si="3"/>
        <v>251.60919354838711</v>
      </c>
      <c r="X8" s="6">
        <f t="shared" si="3"/>
        <v>244.80508196721311</v>
      </c>
      <c r="Y8" s="6">
        <f t="shared" si="3"/>
        <v>251.60935483870969</v>
      </c>
      <c r="Z8" s="6">
        <f t="shared" si="3"/>
        <v>251.87790322580645</v>
      </c>
      <c r="AA8" s="6">
        <f t="shared" si="3"/>
        <v>251.87790322580645</v>
      </c>
      <c r="AB8" s="6">
        <f t="shared" si="3"/>
        <v>238.41423728813561</v>
      </c>
      <c r="AC8" s="6">
        <f t="shared" si="3"/>
        <v>258.32967741935482</v>
      </c>
      <c r="AD8" s="6">
        <f t="shared" si="3"/>
        <v>259.01278688524593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239.88688364055301</v>
      </c>
      <c r="C9" s="6">
        <f t="shared" ref="C9:AG9" si="4">IF(C11=0,0,C11/C3)</f>
        <v>230.10387096774195</v>
      </c>
      <c r="D9" s="6">
        <f t="shared" si="4"/>
        <v>241.39419354838711</v>
      </c>
      <c r="E9" s="6">
        <f t="shared" si="4"/>
        <v>220.42645161290324</v>
      </c>
      <c r="F9" s="6">
        <f t="shared" si="4"/>
        <v>236.28677419354841</v>
      </c>
      <c r="G9" s="6">
        <f t="shared" si="4"/>
        <v>216.93193548387097</v>
      </c>
      <c r="H9" s="6">
        <f t="shared" si="4"/>
        <v>212.89967741935484</v>
      </c>
      <c r="I9" s="6">
        <f t="shared" si="4"/>
        <v>234.67387096774195</v>
      </c>
      <c r="J9" s="6">
        <f t="shared" si="4"/>
        <v>217.7383870967742</v>
      </c>
      <c r="K9" s="6">
        <f t="shared" si="4"/>
        <v>259.67387096774195</v>
      </c>
      <c r="L9" s="6">
        <f t="shared" si="4"/>
        <v>217.7383870967742</v>
      </c>
      <c r="M9" s="6">
        <f t="shared" si="4"/>
        <v>238.70612903225808</v>
      </c>
      <c r="N9" s="6">
        <f t="shared" si="4"/>
        <v>217.7383870967742</v>
      </c>
      <c r="O9" s="6">
        <f t="shared" si="4"/>
        <v>231.17903225806452</v>
      </c>
      <c r="P9" s="6">
        <f t="shared" si="4"/>
        <v>251.60903225806453</v>
      </c>
      <c r="Q9" s="6">
        <f t="shared" si="4"/>
        <v>237.3617741935484</v>
      </c>
      <c r="R9" s="6">
        <f t="shared" si="4"/>
        <v>247.84564516129032</v>
      </c>
      <c r="S9" s="6">
        <f t="shared" si="4"/>
        <v>268.81338709677419</v>
      </c>
      <c r="T9" s="6">
        <f t="shared" si="4"/>
        <v>258.32951612903224</v>
      </c>
      <c r="U9" s="6">
        <f t="shared" si="4"/>
        <v>230.91016129032258</v>
      </c>
      <c r="V9" s="6">
        <f t="shared" si="4"/>
        <v>258.59838709677422</v>
      </c>
      <c r="W9" s="6">
        <f t="shared" si="4"/>
        <v>251.60919354838711</v>
      </c>
      <c r="X9" s="6">
        <f t="shared" si="4"/>
        <v>240.85661290322582</v>
      </c>
      <c r="Y9" s="6">
        <f t="shared" si="4"/>
        <v>251.60935483870969</v>
      </c>
      <c r="Z9" s="6">
        <f t="shared" si="4"/>
        <v>251.87790322580645</v>
      </c>
      <c r="AA9" s="6">
        <f t="shared" si="4"/>
        <v>251.87790322580645</v>
      </c>
      <c r="AB9" s="6">
        <f t="shared" si="4"/>
        <v>226.87806451612903</v>
      </c>
      <c r="AC9" s="6">
        <f t="shared" si="4"/>
        <v>258.32967741935482</v>
      </c>
      <c r="AD9" s="6">
        <f t="shared" si="4"/>
        <v>254.83516129032259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-507108.5</v>
      </c>
      <c r="D10" s="29">
        <f>C25</f>
        <v>-527842.06000000006</v>
      </c>
      <c r="E10" s="29">
        <f t="shared" ref="E10:AG10" si="5">D25</f>
        <v>-520575.62000000005</v>
      </c>
      <c r="F10" s="29">
        <f t="shared" si="5"/>
        <v>-528609.18000000005</v>
      </c>
      <c r="G10" s="29">
        <f t="shared" si="5"/>
        <v>-530408.78</v>
      </c>
      <c r="H10" s="29">
        <f t="shared" si="5"/>
        <v>-517559</v>
      </c>
      <c r="I10" s="29">
        <f t="shared" si="5"/>
        <v>-551192.62</v>
      </c>
      <c r="J10" s="29">
        <f t="shared" si="5"/>
        <v>-545692.84</v>
      </c>
      <c r="K10" s="29">
        <f t="shared" si="5"/>
        <v>-560938.25999999989</v>
      </c>
      <c r="L10" s="29">
        <f t="shared" si="5"/>
        <v>-563738.47999999986</v>
      </c>
      <c r="M10" s="29">
        <f t="shared" si="5"/>
        <v>-571738.69999999984</v>
      </c>
      <c r="N10" s="29">
        <f t="shared" si="5"/>
        <v>-572238.91999999981</v>
      </c>
      <c r="O10" s="29">
        <f t="shared" si="5"/>
        <v>-560039.13999999978</v>
      </c>
      <c r="P10" s="29">
        <f t="shared" si="5"/>
        <v>-575639.49999999977</v>
      </c>
      <c r="Q10" s="29">
        <f t="shared" si="5"/>
        <v>-572506.43999999971</v>
      </c>
      <c r="R10" s="29">
        <f t="shared" si="5"/>
        <v>-574289.6799999997</v>
      </c>
      <c r="S10" s="29">
        <f t="shared" si="5"/>
        <v>-560223.24999999965</v>
      </c>
      <c r="T10" s="29">
        <f t="shared" si="5"/>
        <v>-552706.8199999996</v>
      </c>
      <c r="U10" s="29">
        <f t="shared" si="5"/>
        <v>-537340.38999999955</v>
      </c>
      <c r="V10" s="29">
        <f t="shared" si="5"/>
        <v>-550223.9599999995</v>
      </c>
      <c r="W10" s="29">
        <f t="shared" si="5"/>
        <v>-539757.30999999947</v>
      </c>
      <c r="X10" s="29">
        <f t="shared" si="5"/>
        <v>-534107.53999999946</v>
      </c>
      <c r="Y10" s="29">
        <f t="shared" si="5"/>
        <v>-520474.42999999947</v>
      </c>
      <c r="Z10" s="29">
        <f t="shared" si="5"/>
        <v>-517356.0899999995</v>
      </c>
      <c r="AA10" s="29">
        <f t="shared" si="5"/>
        <v>-503039.65999999951</v>
      </c>
      <c r="AB10" s="29">
        <f t="shared" si="5"/>
        <v>-508523.22999999952</v>
      </c>
      <c r="AC10" s="29">
        <f t="shared" si="5"/>
        <v>-486756.78999999951</v>
      </c>
      <c r="AD10" s="29">
        <f t="shared" si="5"/>
        <v>-481790.34999999951</v>
      </c>
      <c r="AE10" s="29">
        <f t="shared" si="5"/>
        <v>-501445.00999999954</v>
      </c>
      <c r="AF10" s="29">
        <f t="shared" si="5"/>
        <v>-501445.00999999954</v>
      </c>
      <c r="AG10" s="29">
        <f t="shared" si="5"/>
        <v>-501445.00999999954</v>
      </c>
    </row>
    <row r="11" spans="1:33">
      <c r="A11" s="4" t="s">
        <v>8</v>
      </c>
      <c r="B11" s="23">
        <f>SUM(C11:AG11)</f>
        <v>416443.63</v>
      </c>
      <c r="C11" s="23">
        <v>14266.44</v>
      </c>
      <c r="D11" s="23">
        <v>14966.44</v>
      </c>
      <c r="E11" s="23">
        <v>13666.44</v>
      </c>
      <c r="F11" s="23">
        <v>14649.78</v>
      </c>
      <c r="G11" s="23">
        <v>13449.78</v>
      </c>
      <c r="H11" s="23">
        <v>13199.78</v>
      </c>
      <c r="I11" s="23">
        <v>14549.78</v>
      </c>
      <c r="J11" s="23">
        <v>13499.78</v>
      </c>
      <c r="K11" s="23">
        <v>16099.78</v>
      </c>
      <c r="L11" s="23">
        <v>13499.78</v>
      </c>
      <c r="M11" s="23">
        <v>14799.78</v>
      </c>
      <c r="N11" s="23">
        <v>13499.78</v>
      </c>
      <c r="O11" s="23">
        <v>14333.1</v>
      </c>
      <c r="P11" s="23">
        <v>15599.76</v>
      </c>
      <c r="Q11" s="23">
        <v>14716.43</v>
      </c>
      <c r="R11" s="23">
        <v>15366.43</v>
      </c>
      <c r="S11" s="23">
        <v>16666.43</v>
      </c>
      <c r="T11" s="23">
        <v>16016.43</v>
      </c>
      <c r="U11" s="23">
        <v>14316.43</v>
      </c>
      <c r="V11" s="23">
        <v>16033.1</v>
      </c>
      <c r="W11" s="23">
        <v>15599.77</v>
      </c>
      <c r="X11" s="23">
        <v>14933.11</v>
      </c>
      <c r="Y11" s="23">
        <v>15599.78</v>
      </c>
      <c r="Z11" s="23">
        <v>15616.43</v>
      </c>
      <c r="AA11" s="23">
        <v>15616.43</v>
      </c>
      <c r="AB11" s="23">
        <v>14066.44</v>
      </c>
      <c r="AC11" s="23">
        <v>16016.44</v>
      </c>
      <c r="AD11" s="23">
        <v>15799.78</v>
      </c>
      <c r="AE11" s="23"/>
      <c r="AF11" s="23"/>
      <c r="AG11" s="23"/>
    </row>
    <row r="12" spans="1:33">
      <c r="A12" s="4" t="s">
        <v>9</v>
      </c>
      <c r="B12" s="23">
        <f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76702.179999999993</v>
      </c>
      <c r="C13" s="24">
        <f>1221+175</f>
        <v>1396</v>
      </c>
      <c r="D13" s="24">
        <f>500+254+25</f>
        <v>779</v>
      </c>
      <c r="E13" s="24">
        <f>5061+325</f>
        <v>5386</v>
      </c>
      <c r="F13" s="24">
        <f>5411+575</f>
        <v>5986</v>
      </c>
      <c r="G13" s="24"/>
      <c r="H13" s="24">
        <f>21819.38-H11</f>
        <v>8619.6</v>
      </c>
      <c r="I13" s="24">
        <f>583.1+75</f>
        <v>658.1</v>
      </c>
      <c r="J13" s="24">
        <f>2625+250</f>
        <v>2875</v>
      </c>
      <c r="K13" s="23"/>
      <c r="L13" s="23">
        <f>300+3017.7+325</f>
        <v>3642.7</v>
      </c>
      <c r="M13" s="23">
        <f>2861.6+200</f>
        <v>3061.6</v>
      </c>
      <c r="N13" s="23">
        <v>650</v>
      </c>
      <c r="O13" s="23">
        <f>15437.64-O11</f>
        <v>1104.5399999999991</v>
      </c>
      <c r="P13" s="23">
        <f>16361.06-P11</f>
        <v>761.29999999999927</v>
      </c>
      <c r="Q13" s="23">
        <f>20199.53-Q11</f>
        <v>5483.0999999999985</v>
      </c>
      <c r="R13" s="23"/>
      <c r="S13" s="23">
        <v>1817</v>
      </c>
      <c r="T13" s="23"/>
      <c r="U13" s="23">
        <v>1545</v>
      </c>
      <c r="V13" s="23">
        <f>22832.05-V11</f>
        <v>6798.9499999999989</v>
      </c>
      <c r="W13" s="23">
        <f>784+250</f>
        <v>1034</v>
      </c>
      <c r="X13" s="23">
        <v>300</v>
      </c>
      <c r="Y13" s="23">
        <f>21026.31-Y11</f>
        <v>5426.5300000000007</v>
      </c>
      <c r="Z13" s="23"/>
      <c r="AA13" s="23">
        <v>3962.4</v>
      </c>
      <c r="AB13" s="23">
        <f>15912.34-AB11</f>
        <v>1845.8999999999996</v>
      </c>
      <c r="AC13" s="23">
        <f>269.5+100</f>
        <v>369.5</v>
      </c>
      <c r="AD13" s="23">
        <f>3995.56+8254.4+950</f>
        <v>13199.96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493145.81</v>
      </c>
      <c r="C14" s="18">
        <f>SUM(C11:C13)</f>
        <v>15662.44</v>
      </c>
      <c r="D14" s="18">
        <f t="shared" ref="D14:AG14" si="6">SUM(D11:D13)</f>
        <v>15745.44</v>
      </c>
      <c r="E14" s="18">
        <f t="shared" si="6"/>
        <v>19052.440000000002</v>
      </c>
      <c r="F14" s="18">
        <f t="shared" si="6"/>
        <v>20635.78</v>
      </c>
      <c r="G14" s="18">
        <f t="shared" si="6"/>
        <v>13449.78</v>
      </c>
      <c r="H14" s="18">
        <f t="shared" si="6"/>
        <v>21819.38</v>
      </c>
      <c r="I14" s="18">
        <f t="shared" si="6"/>
        <v>15207.880000000001</v>
      </c>
      <c r="J14" s="18">
        <f t="shared" si="6"/>
        <v>16374.78</v>
      </c>
      <c r="K14" s="18">
        <f t="shared" si="6"/>
        <v>16099.78</v>
      </c>
      <c r="L14" s="18">
        <f t="shared" si="6"/>
        <v>17142.48</v>
      </c>
      <c r="M14" s="18">
        <f t="shared" si="6"/>
        <v>17861.38</v>
      </c>
      <c r="N14" s="18">
        <f t="shared" si="6"/>
        <v>14149.78</v>
      </c>
      <c r="O14" s="18">
        <f t="shared" si="6"/>
        <v>15437.64</v>
      </c>
      <c r="P14" s="18">
        <f t="shared" si="6"/>
        <v>16361.06</v>
      </c>
      <c r="Q14" s="18">
        <f t="shared" si="6"/>
        <v>20199.53</v>
      </c>
      <c r="R14" s="18">
        <f t="shared" si="6"/>
        <v>15366.43</v>
      </c>
      <c r="S14" s="18">
        <f t="shared" si="6"/>
        <v>18483.43</v>
      </c>
      <c r="T14" s="18">
        <f t="shared" si="6"/>
        <v>16016.43</v>
      </c>
      <c r="U14" s="18">
        <f t="shared" si="6"/>
        <v>15861.43</v>
      </c>
      <c r="V14" s="18">
        <f t="shared" si="6"/>
        <v>22832.05</v>
      </c>
      <c r="W14" s="18">
        <f t="shared" si="6"/>
        <v>16633.77</v>
      </c>
      <c r="X14" s="18">
        <f t="shared" si="6"/>
        <v>15233.11</v>
      </c>
      <c r="Y14" s="18">
        <f t="shared" si="6"/>
        <v>21026.31</v>
      </c>
      <c r="Z14" s="18">
        <f t="shared" si="6"/>
        <v>15616.43</v>
      </c>
      <c r="AA14" s="18">
        <f t="shared" si="6"/>
        <v>19578.830000000002</v>
      </c>
      <c r="AB14" s="18">
        <f t="shared" si="6"/>
        <v>15912.34</v>
      </c>
      <c r="AC14" s="18">
        <f t="shared" si="6"/>
        <v>16385.940000000002</v>
      </c>
      <c r="AD14" s="18">
        <f>SUM(AD11:AD13)</f>
        <v>28999.739999999998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420183.42000000004</v>
      </c>
      <c r="C15" s="23">
        <v>36396</v>
      </c>
      <c r="D15" s="23">
        <v>8479</v>
      </c>
      <c r="E15" s="23">
        <v>19486</v>
      </c>
      <c r="F15" s="23">
        <f>10468+600-5850.62</f>
        <v>5217.38</v>
      </c>
      <c r="G15" s="23">
        <v>600</v>
      </c>
      <c r="H15" s="23">
        <f>40956.7+2000-600</f>
        <v>42356.7</v>
      </c>
      <c r="I15" s="23">
        <f>9108.1+600</f>
        <v>9708.1</v>
      </c>
      <c r="J15" s="23">
        <f>17525+5500-600</f>
        <v>22425</v>
      </c>
      <c r="K15" s="23">
        <f>8800+8150</f>
        <v>16950</v>
      </c>
      <c r="L15" s="23">
        <v>25142.7</v>
      </c>
      <c r="M15" s="23">
        <f>18361.6+650</f>
        <v>19011.599999999999</v>
      </c>
      <c r="N15" s="23">
        <f>1300+1000</f>
        <v>2300</v>
      </c>
      <c r="O15" s="23">
        <f>24038+6000</f>
        <v>30038</v>
      </c>
      <c r="P15" s="23">
        <v>13228</v>
      </c>
      <c r="Q15" s="23">
        <v>21982.77</v>
      </c>
      <c r="R15" s="23">
        <v>1300</v>
      </c>
      <c r="S15" s="23">
        <v>10967</v>
      </c>
      <c r="T15" s="23">
        <v>650</v>
      </c>
      <c r="U15" s="23">
        <v>28745</v>
      </c>
      <c r="V15" s="23">
        <f>3250+650</f>
        <v>3900</v>
      </c>
      <c r="W15" s="23">
        <v>10984</v>
      </c>
      <c r="X15" s="23">
        <v>1600</v>
      </c>
      <c r="Y15" s="23">
        <v>17907.97</v>
      </c>
      <c r="Z15" s="23">
        <v>1300</v>
      </c>
      <c r="AA15" s="23">
        <v>17538.400000000001</v>
      </c>
      <c r="AB15" s="23">
        <v>-5854.1</v>
      </c>
      <c r="AC15" s="23">
        <f>8169.5+1000</f>
        <v>9169.5</v>
      </c>
      <c r="AD15" s="23">
        <f>52926.4-4272</f>
        <v>48654.400000000001</v>
      </c>
      <c r="AE15" s="23"/>
      <c r="AF15" s="23"/>
      <c r="AG15" s="23"/>
    </row>
    <row r="16" spans="1:33">
      <c r="A16" s="16" t="s">
        <v>16</v>
      </c>
      <c r="B16" s="23">
        <f t="shared" si="7"/>
        <v>59153.700000000004</v>
      </c>
      <c r="C16" s="23"/>
      <c r="D16" s="23"/>
      <c r="E16" s="23">
        <v>7600</v>
      </c>
      <c r="F16" s="23">
        <v>17218</v>
      </c>
      <c r="G16" s="23"/>
      <c r="H16" s="23">
        <v>15096.3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>
        <v>8465.4</v>
      </c>
      <c r="W16" s="23"/>
      <c r="X16" s="23"/>
      <c r="Y16" s="23"/>
      <c r="Z16" s="23"/>
      <c r="AA16" s="23">
        <v>7524</v>
      </c>
      <c r="AB16" s="23"/>
      <c r="AC16" s="23">
        <f>2600+650</f>
        <v>3250</v>
      </c>
      <c r="AD16" s="23"/>
      <c r="AE16" s="23"/>
      <c r="AF16" s="23"/>
      <c r="AG16" s="23"/>
    </row>
    <row r="17" spans="1:33">
      <c r="A17" s="16" t="s">
        <v>17</v>
      </c>
      <c r="B17" s="23">
        <f t="shared" si="7"/>
        <v>7195.2</v>
      </c>
      <c r="C17" s="23"/>
      <c r="D17" s="23"/>
      <c r="E17" s="23"/>
      <c r="F17" s="23"/>
      <c r="G17" s="23"/>
      <c r="H17" s="23"/>
      <c r="I17" s="23"/>
      <c r="J17" s="23">
        <v>7195.2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3250</v>
      </c>
      <c r="C21" s="23"/>
      <c r="D21" s="23"/>
      <c r="E21" s="23"/>
      <c r="F21" s="23"/>
      <c r="G21" s="23"/>
      <c r="H21" s="23"/>
      <c r="I21" s="23"/>
      <c r="J21" s="23"/>
      <c r="K21" s="23">
        <v>1950</v>
      </c>
      <c r="L21" s="23"/>
      <c r="M21" s="23"/>
      <c r="N21" s="23">
        <v>650</v>
      </c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>
        <v>650</v>
      </c>
      <c r="AA21" s="23"/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-2300</v>
      </c>
      <c r="C23" s="24"/>
      <c r="D23" s="24"/>
      <c r="E23" s="24"/>
      <c r="F23" s="24"/>
      <c r="G23" s="24"/>
      <c r="H23" s="24">
        <v>-2000</v>
      </c>
      <c r="I23" s="24"/>
      <c r="J23" s="24">
        <v>2000</v>
      </c>
      <c r="K23" s="24"/>
      <c r="L23" s="24"/>
      <c r="M23" s="24">
        <v>-650</v>
      </c>
      <c r="N23" s="24">
        <v>-1000</v>
      </c>
      <c r="O23" s="24">
        <v>1000</v>
      </c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>
        <v>-650</v>
      </c>
      <c r="AA23" s="24"/>
      <c r="AB23" s="24"/>
      <c r="AC23" s="24">
        <v>-1000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487482.32000000007</v>
      </c>
      <c r="C24" s="19">
        <f>SUM(C15:C23)</f>
        <v>36396</v>
      </c>
      <c r="D24" s="19">
        <f t="shared" ref="D24:U24" si="8">SUM(D15:D23)</f>
        <v>8479</v>
      </c>
      <c r="E24" s="19">
        <f t="shared" si="8"/>
        <v>27086</v>
      </c>
      <c r="F24" s="19">
        <f t="shared" si="8"/>
        <v>22435.38</v>
      </c>
      <c r="G24" s="19">
        <f t="shared" si="8"/>
        <v>600</v>
      </c>
      <c r="H24" s="19">
        <f t="shared" si="8"/>
        <v>55453</v>
      </c>
      <c r="I24" s="19">
        <f t="shared" si="8"/>
        <v>9708.1</v>
      </c>
      <c r="J24" s="19">
        <f t="shared" si="8"/>
        <v>31620.2</v>
      </c>
      <c r="K24" s="19">
        <f t="shared" si="8"/>
        <v>18900</v>
      </c>
      <c r="L24" s="19">
        <f t="shared" si="8"/>
        <v>25142.7</v>
      </c>
      <c r="M24" s="19">
        <f t="shared" si="8"/>
        <v>18361.599999999999</v>
      </c>
      <c r="N24" s="19">
        <f t="shared" si="8"/>
        <v>1950</v>
      </c>
      <c r="O24" s="19">
        <f t="shared" si="8"/>
        <v>31038</v>
      </c>
      <c r="P24" s="19">
        <f t="shared" si="8"/>
        <v>13228</v>
      </c>
      <c r="Q24" s="19">
        <f t="shared" si="8"/>
        <v>21982.77</v>
      </c>
      <c r="R24" s="19">
        <f t="shared" si="8"/>
        <v>1300</v>
      </c>
      <c r="S24" s="19">
        <f t="shared" si="8"/>
        <v>10967</v>
      </c>
      <c r="T24" s="19">
        <f t="shared" si="8"/>
        <v>650</v>
      </c>
      <c r="U24" s="19">
        <f t="shared" si="8"/>
        <v>28745</v>
      </c>
      <c r="V24" s="19">
        <f>SUM(V15:V23)</f>
        <v>12365.4</v>
      </c>
      <c r="W24" s="19">
        <f t="shared" ref="W24:AG24" si="9">SUM(W15:W23)</f>
        <v>10984</v>
      </c>
      <c r="X24" s="19">
        <f t="shared" si="9"/>
        <v>1600</v>
      </c>
      <c r="Y24" s="19">
        <f t="shared" si="9"/>
        <v>17907.97</v>
      </c>
      <c r="Z24" s="19">
        <f t="shared" si="9"/>
        <v>1300</v>
      </c>
      <c r="AA24" s="19">
        <f t="shared" si="9"/>
        <v>25062.400000000001</v>
      </c>
      <c r="AB24" s="19">
        <f t="shared" si="9"/>
        <v>-5854.1</v>
      </c>
      <c r="AC24" s="19">
        <f t="shared" si="9"/>
        <v>11419.5</v>
      </c>
      <c r="AD24" s="19">
        <f>SUM(AD15:AD23)</f>
        <v>48654.400000000001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5663.4899999999325</v>
      </c>
      <c r="C25" s="20">
        <f>C10+C14-C24</f>
        <v>-527842.06000000006</v>
      </c>
      <c r="D25" s="20">
        <f t="shared" ref="D25:AG25" si="10">D10+D14-D24</f>
        <v>-520575.62000000005</v>
      </c>
      <c r="E25" s="20">
        <f t="shared" si="10"/>
        <v>-528609.18000000005</v>
      </c>
      <c r="F25" s="20">
        <f t="shared" si="10"/>
        <v>-530408.78</v>
      </c>
      <c r="G25" s="20">
        <f t="shared" si="10"/>
        <v>-517559</v>
      </c>
      <c r="H25" s="20">
        <f t="shared" si="10"/>
        <v>-551192.62</v>
      </c>
      <c r="I25" s="20">
        <f t="shared" si="10"/>
        <v>-545692.84</v>
      </c>
      <c r="J25" s="20">
        <f t="shared" si="10"/>
        <v>-560938.25999999989</v>
      </c>
      <c r="K25" s="20">
        <f t="shared" si="10"/>
        <v>-563738.47999999986</v>
      </c>
      <c r="L25" s="20">
        <f t="shared" si="10"/>
        <v>-571738.69999999984</v>
      </c>
      <c r="M25" s="20">
        <f t="shared" si="10"/>
        <v>-572238.91999999981</v>
      </c>
      <c r="N25" s="20">
        <f t="shared" si="10"/>
        <v>-560039.13999999978</v>
      </c>
      <c r="O25" s="20">
        <f t="shared" si="10"/>
        <v>-575639.49999999977</v>
      </c>
      <c r="P25" s="20">
        <f t="shared" si="10"/>
        <v>-572506.43999999971</v>
      </c>
      <c r="Q25" s="20">
        <f t="shared" si="10"/>
        <v>-574289.6799999997</v>
      </c>
      <c r="R25" s="20">
        <f t="shared" si="10"/>
        <v>-560223.24999999965</v>
      </c>
      <c r="S25" s="20">
        <f t="shared" si="10"/>
        <v>-552706.8199999996</v>
      </c>
      <c r="T25" s="20">
        <f t="shared" si="10"/>
        <v>-537340.38999999955</v>
      </c>
      <c r="U25" s="20">
        <f t="shared" si="10"/>
        <v>-550223.9599999995</v>
      </c>
      <c r="V25" s="20">
        <f t="shared" si="10"/>
        <v>-539757.30999999947</v>
      </c>
      <c r="W25" s="20">
        <f t="shared" si="10"/>
        <v>-534107.53999999946</v>
      </c>
      <c r="X25" s="20">
        <f t="shared" si="10"/>
        <v>-520474.42999999947</v>
      </c>
      <c r="Y25" s="20">
        <f t="shared" si="10"/>
        <v>-517356.0899999995</v>
      </c>
      <c r="Z25" s="20">
        <f t="shared" si="10"/>
        <v>-503039.65999999951</v>
      </c>
      <c r="AA25" s="20">
        <f t="shared" si="10"/>
        <v>-508523.22999999952</v>
      </c>
      <c r="AB25" s="20">
        <f t="shared" si="10"/>
        <v>-486756.78999999951</v>
      </c>
      <c r="AC25" s="20">
        <f t="shared" si="10"/>
        <v>-481790.34999999951</v>
      </c>
      <c r="AD25" s="20">
        <f t="shared" si="10"/>
        <v>-501445.00999999954</v>
      </c>
      <c r="AE25" s="20">
        <f t="shared" si="10"/>
        <v>-501445.00999999954</v>
      </c>
      <c r="AF25" s="20">
        <f t="shared" si="10"/>
        <v>-501445.00999999954</v>
      </c>
      <c r="AG25" s="20">
        <f t="shared" si="10"/>
        <v>-501445.00999999954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39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2072</v>
      </c>
      <c r="C3" s="27">
        <v>74</v>
      </c>
      <c r="D3" s="27">
        <v>74</v>
      </c>
      <c r="E3" s="27">
        <v>74</v>
      </c>
      <c r="F3" s="27">
        <v>74</v>
      </c>
      <c r="G3" s="27">
        <v>74</v>
      </c>
      <c r="H3" s="27">
        <v>74</v>
      </c>
      <c r="I3" s="27">
        <v>74</v>
      </c>
      <c r="J3" s="27">
        <v>74</v>
      </c>
      <c r="K3" s="27">
        <v>74</v>
      </c>
      <c r="L3" s="27">
        <v>74</v>
      </c>
      <c r="M3" s="27">
        <v>74</v>
      </c>
      <c r="N3" s="27">
        <v>74</v>
      </c>
      <c r="O3" s="27">
        <v>74</v>
      </c>
      <c r="P3" s="27">
        <v>74</v>
      </c>
      <c r="Q3" s="27">
        <v>74</v>
      </c>
      <c r="R3" s="27">
        <v>74</v>
      </c>
      <c r="S3" s="27">
        <v>74</v>
      </c>
      <c r="T3" s="27">
        <v>74</v>
      </c>
      <c r="U3" s="27">
        <v>74</v>
      </c>
      <c r="V3" s="27">
        <v>74</v>
      </c>
      <c r="W3" s="27">
        <v>74</v>
      </c>
      <c r="X3" s="27">
        <v>74</v>
      </c>
      <c r="Y3" s="27">
        <v>74</v>
      </c>
      <c r="Z3" s="27">
        <v>74</v>
      </c>
      <c r="AA3" s="27">
        <v>74</v>
      </c>
      <c r="AB3" s="27">
        <v>74</v>
      </c>
      <c r="AC3" s="27">
        <v>74</v>
      </c>
      <c r="AD3" s="27">
        <v>74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2072</v>
      </c>
      <c r="C5" s="5">
        <f t="shared" ref="C5:AG5" si="1">+C3-C4</f>
        <v>74</v>
      </c>
      <c r="D5" s="5">
        <f t="shared" si="1"/>
        <v>74</v>
      </c>
      <c r="E5" s="5">
        <f t="shared" si="1"/>
        <v>74</v>
      </c>
      <c r="F5" s="5">
        <f t="shared" si="1"/>
        <v>74</v>
      </c>
      <c r="G5" s="5">
        <f t="shared" si="1"/>
        <v>74</v>
      </c>
      <c r="H5" s="5">
        <f t="shared" si="1"/>
        <v>74</v>
      </c>
      <c r="I5" s="5">
        <f t="shared" si="1"/>
        <v>74</v>
      </c>
      <c r="J5" s="5">
        <f t="shared" si="1"/>
        <v>74</v>
      </c>
      <c r="K5" s="5">
        <f t="shared" si="1"/>
        <v>74</v>
      </c>
      <c r="L5" s="5">
        <f t="shared" si="1"/>
        <v>74</v>
      </c>
      <c r="M5" s="5">
        <f t="shared" si="1"/>
        <v>74</v>
      </c>
      <c r="N5" s="5">
        <f t="shared" si="1"/>
        <v>74</v>
      </c>
      <c r="O5" s="5">
        <f t="shared" si="1"/>
        <v>74</v>
      </c>
      <c r="P5" s="5">
        <f t="shared" si="1"/>
        <v>74</v>
      </c>
      <c r="Q5" s="5">
        <f t="shared" si="1"/>
        <v>74</v>
      </c>
      <c r="R5" s="5">
        <f t="shared" si="1"/>
        <v>74</v>
      </c>
      <c r="S5" s="5">
        <f t="shared" si="1"/>
        <v>74</v>
      </c>
      <c r="T5" s="5">
        <f t="shared" si="1"/>
        <v>74</v>
      </c>
      <c r="U5" s="5">
        <f t="shared" si="1"/>
        <v>74</v>
      </c>
      <c r="V5" s="5">
        <f t="shared" si="1"/>
        <v>74</v>
      </c>
      <c r="W5" s="5">
        <f t="shared" si="1"/>
        <v>74</v>
      </c>
      <c r="X5" s="5">
        <f t="shared" si="1"/>
        <v>74</v>
      </c>
      <c r="Y5" s="5">
        <f t="shared" si="1"/>
        <v>74</v>
      </c>
      <c r="Z5" s="5">
        <f t="shared" si="1"/>
        <v>74</v>
      </c>
      <c r="AA5" s="5">
        <f t="shared" si="1"/>
        <v>74</v>
      </c>
      <c r="AB5" s="5">
        <f t="shared" si="1"/>
        <v>74</v>
      </c>
      <c r="AC5" s="5">
        <f t="shared" si="1"/>
        <v>74</v>
      </c>
      <c r="AD5" s="5">
        <f t="shared" si="1"/>
        <v>74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1923</v>
      </c>
      <c r="C6" s="34">
        <v>71</v>
      </c>
      <c r="D6" s="34">
        <v>70</v>
      </c>
      <c r="E6" s="34">
        <v>70</v>
      </c>
      <c r="F6" s="34">
        <v>72</v>
      </c>
      <c r="G6" s="34">
        <v>63</v>
      </c>
      <c r="H6" s="34">
        <v>65</v>
      </c>
      <c r="I6" s="34">
        <v>68</v>
      </c>
      <c r="J6" s="34">
        <v>69</v>
      </c>
      <c r="K6" s="34">
        <v>73</v>
      </c>
      <c r="L6" s="34">
        <v>73</v>
      </c>
      <c r="M6" s="34">
        <v>72</v>
      </c>
      <c r="N6" s="34">
        <v>65</v>
      </c>
      <c r="O6" s="34">
        <v>71</v>
      </c>
      <c r="P6" s="34">
        <v>74</v>
      </c>
      <c r="Q6" s="34">
        <v>74</v>
      </c>
      <c r="R6" s="34">
        <v>74</v>
      </c>
      <c r="S6" s="34">
        <v>69</v>
      </c>
      <c r="T6" s="34">
        <v>70</v>
      </c>
      <c r="U6" s="34">
        <v>65</v>
      </c>
      <c r="V6" s="34">
        <v>74</v>
      </c>
      <c r="W6" s="34">
        <v>68</v>
      </c>
      <c r="X6" s="34">
        <v>69</v>
      </c>
      <c r="Y6" s="34">
        <v>74</v>
      </c>
      <c r="Z6" s="34">
        <v>70</v>
      </c>
      <c r="AA6" s="34">
        <v>64</v>
      </c>
      <c r="AB6" s="34">
        <v>66</v>
      </c>
      <c r="AC6" s="34">
        <v>56</v>
      </c>
      <c r="AD6" s="34">
        <v>54</v>
      </c>
      <c r="AE6" s="34"/>
      <c r="AF6" s="34"/>
      <c r="AG6" s="34"/>
    </row>
    <row r="7" spans="1:33">
      <c r="A7" s="4" t="s">
        <v>4</v>
      </c>
      <c r="B7" s="7">
        <f>IF(B6=0,0,B6/B5)</f>
        <v>0.92808880308880304</v>
      </c>
      <c r="C7" s="7">
        <f t="shared" ref="C7:AG7" si="2">IF(C6=0,0,C6/C5)</f>
        <v>0.95945945945945943</v>
      </c>
      <c r="D7" s="7">
        <f t="shared" si="2"/>
        <v>0.94594594594594594</v>
      </c>
      <c r="E7" s="7">
        <f t="shared" si="2"/>
        <v>0.94594594594594594</v>
      </c>
      <c r="F7" s="7">
        <f t="shared" si="2"/>
        <v>0.97297297297297303</v>
      </c>
      <c r="G7" s="7">
        <f t="shared" si="2"/>
        <v>0.85135135135135132</v>
      </c>
      <c r="H7" s="7">
        <f t="shared" si="2"/>
        <v>0.8783783783783784</v>
      </c>
      <c r="I7" s="7">
        <f t="shared" si="2"/>
        <v>0.91891891891891897</v>
      </c>
      <c r="J7" s="7">
        <f t="shared" si="2"/>
        <v>0.93243243243243246</v>
      </c>
      <c r="K7" s="7">
        <f t="shared" si="2"/>
        <v>0.98648648648648651</v>
      </c>
      <c r="L7" s="7">
        <f t="shared" si="2"/>
        <v>0.98648648648648651</v>
      </c>
      <c r="M7" s="7">
        <f t="shared" si="2"/>
        <v>0.97297297297297303</v>
      </c>
      <c r="N7" s="7">
        <f t="shared" si="2"/>
        <v>0.8783783783783784</v>
      </c>
      <c r="O7" s="7">
        <f t="shared" si="2"/>
        <v>0.95945945945945943</v>
      </c>
      <c r="P7" s="7">
        <f t="shared" si="2"/>
        <v>1</v>
      </c>
      <c r="Q7" s="7">
        <f t="shared" si="2"/>
        <v>1</v>
      </c>
      <c r="R7" s="7">
        <f t="shared" si="2"/>
        <v>1</v>
      </c>
      <c r="S7" s="7">
        <f t="shared" si="2"/>
        <v>0.93243243243243246</v>
      </c>
      <c r="T7" s="7">
        <f t="shared" si="2"/>
        <v>0.94594594594594594</v>
      </c>
      <c r="U7" s="7">
        <f t="shared" si="2"/>
        <v>0.8783783783783784</v>
      </c>
      <c r="V7" s="7">
        <f t="shared" si="2"/>
        <v>1</v>
      </c>
      <c r="W7" s="7">
        <f t="shared" si="2"/>
        <v>0.91891891891891897</v>
      </c>
      <c r="X7" s="7">
        <f t="shared" si="2"/>
        <v>0.93243243243243246</v>
      </c>
      <c r="Y7" s="7">
        <f t="shared" si="2"/>
        <v>1</v>
      </c>
      <c r="Z7" s="7">
        <f t="shared" si="2"/>
        <v>0.94594594594594594</v>
      </c>
      <c r="AA7" s="7">
        <f t="shared" si="2"/>
        <v>0.86486486486486491</v>
      </c>
      <c r="AB7" s="7">
        <f t="shared" si="2"/>
        <v>0.89189189189189189</v>
      </c>
      <c r="AC7" s="7">
        <f t="shared" si="2"/>
        <v>0.7567567567567568</v>
      </c>
      <c r="AD7" s="7">
        <f t="shared" si="2"/>
        <v>0.72972972972972971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1408.0435413416537</v>
      </c>
      <c r="C8" s="6">
        <f t="shared" ref="C8:AG8" si="3">IF(C6=0,0,C11/C6)</f>
        <v>1475.6374647887324</v>
      </c>
      <c r="D8" s="6">
        <f t="shared" si="3"/>
        <v>1359.7427142857143</v>
      </c>
      <c r="E8" s="6">
        <f t="shared" si="3"/>
        <v>1369.3708571428572</v>
      </c>
      <c r="F8" s="6">
        <f t="shared" si="3"/>
        <v>1375.0573611111113</v>
      </c>
      <c r="G8" s="6">
        <f t="shared" si="3"/>
        <v>1327.4488888888889</v>
      </c>
      <c r="H8" s="6">
        <f t="shared" si="3"/>
        <v>1345.3392307692309</v>
      </c>
      <c r="I8" s="6">
        <f t="shared" si="3"/>
        <v>1373.7929411764705</v>
      </c>
      <c r="J8" s="6">
        <f t="shared" si="3"/>
        <v>1372.9869565217391</v>
      </c>
      <c r="K8" s="6">
        <f t="shared" si="3"/>
        <v>1423.0368493150686</v>
      </c>
      <c r="L8" s="6">
        <f t="shared" si="3"/>
        <v>1449.7286301369863</v>
      </c>
      <c r="M8" s="6">
        <f t="shared" si="3"/>
        <v>1439.9269444444444</v>
      </c>
      <c r="N8" s="6">
        <f t="shared" si="3"/>
        <v>1481.2900000000002</v>
      </c>
      <c r="O8" s="6">
        <f t="shared" si="3"/>
        <v>1465.216056338028</v>
      </c>
      <c r="P8" s="6">
        <f t="shared" si="3"/>
        <v>1511.2106756756757</v>
      </c>
      <c r="Q8" s="6">
        <f t="shared" si="3"/>
        <v>1460.975945945946</v>
      </c>
      <c r="R8" s="6">
        <f t="shared" si="3"/>
        <v>1462.7421621621622</v>
      </c>
      <c r="S8" s="6">
        <f t="shared" si="3"/>
        <v>1403.7023188405799</v>
      </c>
      <c r="T8" s="6">
        <f t="shared" si="3"/>
        <v>1438.0372857142856</v>
      </c>
      <c r="U8" s="6">
        <f t="shared" si="3"/>
        <v>1421.6433846153848</v>
      </c>
      <c r="V8" s="6">
        <f t="shared" si="3"/>
        <v>1451.112837837838</v>
      </c>
      <c r="W8" s="6">
        <f t="shared" si="3"/>
        <v>1397.342205882353</v>
      </c>
      <c r="X8" s="6">
        <f t="shared" si="3"/>
        <v>1369.1302898550725</v>
      </c>
      <c r="Y8" s="6">
        <f t="shared" si="3"/>
        <v>1348.2291891891894</v>
      </c>
      <c r="Z8" s="6">
        <f t="shared" si="3"/>
        <v>1390.1375714285714</v>
      </c>
      <c r="AA8" s="6">
        <f t="shared" si="3"/>
        <v>1372.7421875</v>
      </c>
      <c r="AB8" s="6">
        <f t="shared" si="3"/>
        <v>1356.4204545454545</v>
      </c>
      <c r="AC8" s="6">
        <f t="shared" si="3"/>
        <v>1349.6928571428573</v>
      </c>
      <c r="AD8" s="6">
        <f t="shared" si="3"/>
        <v>1387.0807407407408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1306.789444980695</v>
      </c>
      <c r="C9" s="6">
        <f t="shared" ref="C9:AG9" si="4">IF(C11=0,0,C11/C3)</f>
        <v>1415.8143243243242</v>
      </c>
      <c r="D9" s="6">
        <f t="shared" si="4"/>
        <v>1286.2431081081081</v>
      </c>
      <c r="E9" s="6">
        <f t="shared" si="4"/>
        <v>1295.3508108108108</v>
      </c>
      <c r="F9" s="6">
        <f t="shared" si="4"/>
        <v>1337.8936486486487</v>
      </c>
      <c r="G9" s="6">
        <f t="shared" si="4"/>
        <v>1130.1254054054054</v>
      </c>
      <c r="H9" s="6">
        <f t="shared" si="4"/>
        <v>1181.7168918918919</v>
      </c>
      <c r="I9" s="6">
        <f t="shared" si="4"/>
        <v>1262.4043243243243</v>
      </c>
      <c r="J9" s="6">
        <f t="shared" si="4"/>
        <v>1280.2175675675676</v>
      </c>
      <c r="K9" s="6">
        <f t="shared" si="4"/>
        <v>1403.8066216216216</v>
      </c>
      <c r="L9" s="6">
        <f t="shared" si="4"/>
        <v>1430.1377027027027</v>
      </c>
      <c r="M9" s="6">
        <f t="shared" si="4"/>
        <v>1401.01</v>
      </c>
      <c r="N9" s="6">
        <f t="shared" si="4"/>
        <v>1301.1331081081082</v>
      </c>
      <c r="O9" s="6">
        <f t="shared" si="4"/>
        <v>1405.8154054054053</v>
      </c>
      <c r="P9" s="6">
        <f t="shared" si="4"/>
        <v>1511.2106756756757</v>
      </c>
      <c r="Q9" s="6">
        <f t="shared" si="4"/>
        <v>1460.975945945946</v>
      </c>
      <c r="R9" s="6">
        <f t="shared" si="4"/>
        <v>1462.7421621621622</v>
      </c>
      <c r="S9" s="6">
        <f t="shared" si="4"/>
        <v>1308.8575675675677</v>
      </c>
      <c r="T9" s="6">
        <f t="shared" si="4"/>
        <v>1360.3055405405405</v>
      </c>
      <c r="U9" s="6">
        <f t="shared" si="4"/>
        <v>1248.7408108108109</v>
      </c>
      <c r="V9" s="6">
        <f t="shared" si="4"/>
        <v>1451.112837837838</v>
      </c>
      <c r="W9" s="6">
        <f t="shared" si="4"/>
        <v>1284.0441891891892</v>
      </c>
      <c r="X9" s="6">
        <f t="shared" si="4"/>
        <v>1276.6214864864864</v>
      </c>
      <c r="Y9" s="6">
        <f t="shared" si="4"/>
        <v>1348.2291891891894</v>
      </c>
      <c r="Z9" s="6">
        <f t="shared" si="4"/>
        <v>1314.9950000000001</v>
      </c>
      <c r="AA9" s="6">
        <f t="shared" si="4"/>
        <v>1187.2364864864865</v>
      </c>
      <c r="AB9" s="6">
        <f t="shared" si="4"/>
        <v>1209.7804054054054</v>
      </c>
      <c r="AC9" s="6">
        <f t="shared" si="4"/>
        <v>1021.3891891891892</v>
      </c>
      <c r="AD9" s="6">
        <f t="shared" si="4"/>
        <v>1012.194054054054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-364676.12</v>
      </c>
      <c r="D10" s="29">
        <f>C25</f>
        <v>-310475.03999999998</v>
      </c>
      <c r="E10" s="29">
        <f t="shared" ref="E10:AG10" si="5">D25</f>
        <v>-345645.93999999994</v>
      </c>
      <c r="F10" s="29">
        <f t="shared" si="5"/>
        <v>-337906.75999999995</v>
      </c>
      <c r="G10" s="29">
        <f t="shared" si="5"/>
        <v>-268597.71999999997</v>
      </c>
      <c r="H10" s="29">
        <f t="shared" si="5"/>
        <v>-347231.95999999996</v>
      </c>
      <c r="I10" s="29">
        <f t="shared" si="5"/>
        <v>-296903.64</v>
      </c>
      <c r="J10" s="29">
        <f t="shared" si="5"/>
        <v>-303155.88</v>
      </c>
      <c r="K10" s="29">
        <f t="shared" si="5"/>
        <v>-243568.96</v>
      </c>
      <c r="L10" s="29">
        <f t="shared" si="5"/>
        <v>-207577.27999999997</v>
      </c>
      <c r="M10" s="29">
        <f t="shared" si="5"/>
        <v>-212312.53999999998</v>
      </c>
      <c r="N10" s="29">
        <f t="shared" si="5"/>
        <v>-187805.41999999998</v>
      </c>
      <c r="O10" s="29">
        <f t="shared" si="5"/>
        <v>-238748.15</v>
      </c>
      <c r="P10" s="29">
        <f t="shared" si="5"/>
        <v>-169324.27000000002</v>
      </c>
      <c r="Q10" s="29">
        <f t="shared" si="5"/>
        <v>-202620.36000000004</v>
      </c>
      <c r="R10" s="29">
        <f t="shared" si="5"/>
        <v>-188072.74000000005</v>
      </c>
      <c r="S10" s="29">
        <f t="shared" si="5"/>
        <v>-206220.26000000004</v>
      </c>
      <c r="T10" s="29">
        <f t="shared" si="5"/>
        <v>-187918.20000000004</v>
      </c>
      <c r="U10" s="29">
        <f t="shared" si="5"/>
        <v>-186623.57000000004</v>
      </c>
      <c r="V10" s="29">
        <f t="shared" si="5"/>
        <v>-208544.79000000004</v>
      </c>
      <c r="W10" s="29">
        <f t="shared" si="5"/>
        <v>-171089.59000000003</v>
      </c>
      <c r="X10" s="29">
        <f t="shared" si="5"/>
        <v>-108074.56000000003</v>
      </c>
      <c r="Y10" s="29">
        <f t="shared" si="5"/>
        <v>-95216.010000000024</v>
      </c>
      <c r="Z10" s="29">
        <f t="shared" si="5"/>
        <v>-43050.650000000023</v>
      </c>
      <c r="AA10" s="29">
        <f t="shared" si="5"/>
        <v>-121584.25000000003</v>
      </c>
      <c r="AB10" s="29">
        <f t="shared" si="5"/>
        <v>-111779.29000000002</v>
      </c>
      <c r="AC10" s="29">
        <f t="shared" si="5"/>
        <v>-31882.130000000019</v>
      </c>
      <c r="AD10" s="29">
        <f t="shared" si="5"/>
        <v>-18004.500000000015</v>
      </c>
      <c r="AE10" s="29">
        <f t="shared" si="5"/>
        <v>-71299.530000000028</v>
      </c>
      <c r="AF10" s="29">
        <f t="shared" si="5"/>
        <v>-71299.530000000028</v>
      </c>
      <c r="AG10" s="29">
        <f t="shared" si="5"/>
        <v>-71299.530000000028</v>
      </c>
    </row>
    <row r="11" spans="1:33">
      <c r="A11" s="4" t="s">
        <v>8</v>
      </c>
      <c r="B11" s="23">
        <f>SUM(C11:AG11)</f>
        <v>2707667.73</v>
      </c>
      <c r="C11" s="23">
        <v>104770.26</v>
      </c>
      <c r="D11" s="23">
        <v>95181.99</v>
      </c>
      <c r="E11" s="23">
        <v>95855.96</v>
      </c>
      <c r="F11" s="23">
        <v>99004.13</v>
      </c>
      <c r="G11" s="23">
        <v>83629.279999999999</v>
      </c>
      <c r="H11" s="23">
        <v>87447.05</v>
      </c>
      <c r="I11" s="23">
        <v>93417.919999999998</v>
      </c>
      <c r="J11" s="23">
        <v>94736.1</v>
      </c>
      <c r="K11" s="23">
        <v>103881.69</v>
      </c>
      <c r="L11" s="23">
        <v>105830.19</v>
      </c>
      <c r="M11" s="23">
        <v>103674.74</v>
      </c>
      <c r="N11" s="23">
        <v>96283.85</v>
      </c>
      <c r="O11" s="23">
        <v>104030.34</v>
      </c>
      <c r="P11" s="23">
        <v>111829.59</v>
      </c>
      <c r="Q11" s="23">
        <v>108112.22</v>
      </c>
      <c r="R11" s="23">
        <v>108242.92</v>
      </c>
      <c r="S11" s="23">
        <v>96855.46</v>
      </c>
      <c r="T11" s="23">
        <v>100662.61</v>
      </c>
      <c r="U11" s="23">
        <v>92406.82</v>
      </c>
      <c r="V11" s="23">
        <v>107382.35</v>
      </c>
      <c r="W11" s="23">
        <v>95019.27</v>
      </c>
      <c r="X11" s="23">
        <v>94469.99</v>
      </c>
      <c r="Y11" s="23">
        <v>99768.960000000006</v>
      </c>
      <c r="Z11" s="23">
        <v>97309.63</v>
      </c>
      <c r="AA11" s="23">
        <v>87855.5</v>
      </c>
      <c r="AB11" s="23">
        <f>90523.75-1000</f>
        <v>89523.75</v>
      </c>
      <c r="AC11" s="23">
        <v>75582.8</v>
      </c>
      <c r="AD11" s="23">
        <v>74902.36</v>
      </c>
      <c r="AE11" s="23"/>
      <c r="AF11" s="23"/>
      <c r="AG11" s="23"/>
    </row>
    <row r="12" spans="1:33">
      <c r="A12" s="4" t="s">
        <v>9</v>
      </c>
      <c r="B12" s="23">
        <f>SUM(C12:AG12)</f>
        <v>191511</v>
      </c>
      <c r="C12" s="23">
        <f>7200+660+875</f>
        <v>8735</v>
      </c>
      <c r="D12" s="23">
        <f>7200+264+1295</f>
        <v>8759</v>
      </c>
      <c r="E12" s="23">
        <f>7200+920</f>
        <v>8120</v>
      </c>
      <c r="F12" s="23">
        <f>6600+1335</f>
        <v>7935</v>
      </c>
      <c r="G12" s="23">
        <f>6200+1970</f>
        <v>8170</v>
      </c>
      <c r="H12" s="23">
        <f>6000+1230</f>
        <v>7230</v>
      </c>
      <c r="I12" s="23">
        <f>5800+2385</f>
        <v>8185</v>
      </c>
      <c r="J12" s="23">
        <f>6100+1225</f>
        <v>7325</v>
      </c>
      <c r="K12" s="23">
        <f>5500+2385</f>
        <v>7885</v>
      </c>
      <c r="L12" s="23">
        <f>4750+460+2525</f>
        <v>7735</v>
      </c>
      <c r="M12" s="23">
        <f>5200+1855</f>
        <v>7055</v>
      </c>
      <c r="N12" s="23">
        <f>4600+160+1875</f>
        <v>6635</v>
      </c>
      <c r="O12" s="23">
        <f>5350+2045</f>
        <v>7395</v>
      </c>
      <c r="P12" s="23">
        <f>5450+500+1795</f>
        <v>7745</v>
      </c>
      <c r="Q12" s="23">
        <f>5450+160+1780</f>
        <v>7390</v>
      </c>
      <c r="R12" s="23">
        <f>3950+405+1105</f>
        <v>5460</v>
      </c>
      <c r="S12" s="23">
        <f>3350+300+2615</f>
        <v>6265</v>
      </c>
      <c r="T12" s="23">
        <f>5150+300+1490</f>
        <v>6940</v>
      </c>
      <c r="U12" s="23">
        <f>5300+1180</f>
        <v>6480</v>
      </c>
      <c r="V12" s="23">
        <f>4700+1290</f>
        <v>5990</v>
      </c>
      <c r="W12" s="23">
        <f>3400+112+1145</f>
        <v>4657</v>
      </c>
      <c r="X12" s="23">
        <f>2600+300+1255</f>
        <v>4155</v>
      </c>
      <c r="Y12" s="23">
        <f>3200+1935</f>
        <v>5135</v>
      </c>
      <c r="Z12" s="23">
        <f>4600+1565</f>
        <v>6165</v>
      </c>
      <c r="AA12" s="23">
        <f>4200+2515</f>
        <v>6715</v>
      </c>
      <c r="AB12" s="23">
        <f>3800-160+2135</f>
        <v>5775</v>
      </c>
      <c r="AC12" s="23">
        <f>5000+1475</f>
        <v>6475</v>
      </c>
      <c r="AD12" s="23">
        <v>5000</v>
      </c>
      <c r="AE12" s="23"/>
      <c r="AF12" s="23"/>
      <c r="AG12" s="23"/>
    </row>
    <row r="13" spans="1:33">
      <c r="A13" s="8" t="s">
        <v>10</v>
      </c>
      <c r="B13" s="23">
        <f>SUM(C13:AG13)</f>
        <v>562214.43000000017</v>
      </c>
      <c r="C13" s="24">
        <f>133396.6-C11-C12</f>
        <v>19891.340000000011</v>
      </c>
      <c r="D13" s="24">
        <f>123327.13-D12-D11</f>
        <v>19386.14</v>
      </c>
      <c r="E13" s="24">
        <f>123039-E12-E11</f>
        <v>19063.039999999994</v>
      </c>
      <c r="F13" s="24">
        <f>126747.04-F12-F11</f>
        <v>19807.909999999989</v>
      </c>
      <c r="G13" s="24">
        <f>111206.93-G12-G11</f>
        <v>19407.649999999994</v>
      </c>
      <c r="H13" s="24">
        <f>115108.98-H12-H11</f>
        <v>20431.929999999993</v>
      </c>
      <c r="I13" s="24">
        <f>118430.64-I12-I11</f>
        <v>16827.72</v>
      </c>
      <c r="J13" s="24">
        <f>132884.76-J12-J11</f>
        <v>30823.660000000003</v>
      </c>
      <c r="K13" s="23">
        <f>131721.76-K12-K11</f>
        <v>19955.070000000007</v>
      </c>
      <c r="L13" s="23">
        <f>133845.86-L12-L11</f>
        <v>20280.669999999984</v>
      </c>
      <c r="M13" s="23">
        <f>131180.16-M12-M11</f>
        <v>20450.419999999998</v>
      </c>
      <c r="N13" s="23">
        <f>118773.68-N12-N11</f>
        <v>15854.829999999987</v>
      </c>
      <c r="O13" s="23">
        <f>133278.68-O12-O11</f>
        <v>21853.339999999997</v>
      </c>
      <c r="P13" s="23">
        <f>141152.49-P12-P11</f>
        <v>21577.899999999994</v>
      </c>
      <c r="Q13" s="23">
        <f>134738.5-Q12-Q11</f>
        <v>19236.28</v>
      </c>
      <c r="R13" s="23">
        <f>132661.85-R12-R11</f>
        <v>18958.930000000008</v>
      </c>
      <c r="S13" s="23">
        <f>120313.98-S12-S11</f>
        <v>17193.51999999999</v>
      </c>
      <c r="T13" s="23">
        <f>132419.89-T12-T11</f>
        <v>24817.280000000013</v>
      </c>
      <c r="U13" s="23">
        <f>116242.91-U12-U11</f>
        <v>17356.089999999997</v>
      </c>
      <c r="V13" s="23">
        <f>131745-V12-V11</f>
        <v>18372.649999999994</v>
      </c>
      <c r="W13" s="23">
        <f>117494.67-W12-W11</f>
        <v>17818.399999999994</v>
      </c>
      <c r="X13" s="23">
        <f>119046.05-X12-X11</f>
        <v>20421.059999999998</v>
      </c>
      <c r="Y13" s="23">
        <f>124308.92-Y12-Y11</f>
        <v>19404.959999999992</v>
      </c>
      <c r="Z13" s="23">
        <f>121338.41-Z12-Z11</f>
        <v>17863.78</v>
      </c>
      <c r="AA13" s="23">
        <f>113356.13-AA12-AA11</f>
        <v>18785.630000000005</v>
      </c>
      <c r="AB13" s="23">
        <f>110962.19-AB12-AB11</f>
        <v>15663.440000000002</v>
      </c>
      <c r="AC13" s="23">
        <f>117535.91-AC12-AC11</f>
        <v>35478.11</v>
      </c>
      <c r="AD13" s="23">
        <f>95135.04-AD12-AD11</f>
        <v>15232.679999999993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3461393.16</v>
      </c>
      <c r="C14" s="18">
        <f>SUM(C11:C13)</f>
        <v>133396.6</v>
      </c>
      <c r="D14" s="18">
        <f t="shared" ref="D14:AG14" si="6">SUM(D11:D13)</f>
        <v>123327.13</v>
      </c>
      <c r="E14" s="18">
        <f t="shared" si="6"/>
        <v>123039</v>
      </c>
      <c r="F14" s="18">
        <f t="shared" si="6"/>
        <v>126747.04</v>
      </c>
      <c r="G14" s="18">
        <f t="shared" si="6"/>
        <v>111206.93</v>
      </c>
      <c r="H14" s="18">
        <f t="shared" si="6"/>
        <v>115108.98</v>
      </c>
      <c r="I14" s="18">
        <f t="shared" si="6"/>
        <v>118430.64</v>
      </c>
      <c r="J14" s="18">
        <f t="shared" si="6"/>
        <v>132884.76</v>
      </c>
      <c r="K14" s="18">
        <f t="shared" si="6"/>
        <v>131721.76</v>
      </c>
      <c r="L14" s="18">
        <f t="shared" si="6"/>
        <v>133845.85999999999</v>
      </c>
      <c r="M14" s="18">
        <f t="shared" si="6"/>
        <v>131180.16</v>
      </c>
      <c r="N14" s="18">
        <f t="shared" si="6"/>
        <v>118773.68</v>
      </c>
      <c r="O14" s="18">
        <f t="shared" si="6"/>
        <v>133278.68</v>
      </c>
      <c r="P14" s="18">
        <f t="shared" si="6"/>
        <v>141152.49</v>
      </c>
      <c r="Q14" s="18">
        <f t="shared" si="6"/>
        <v>134738.5</v>
      </c>
      <c r="R14" s="18">
        <f t="shared" si="6"/>
        <v>132661.85</v>
      </c>
      <c r="S14" s="18">
        <f t="shared" si="6"/>
        <v>120313.98</v>
      </c>
      <c r="T14" s="18">
        <f t="shared" si="6"/>
        <v>132419.89000000001</v>
      </c>
      <c r="U14" s="18">
        <f t="shared" si="6"/>
        <v>116242.91</v>
      </c>
      <c r="V14" s="18">
        <f t="shared" si="6"/>
        <v>131745</v>
      </c>
      <c r="W14" s="18">
        <f t="shared" si="6"/>
        <v>117494.67</v>
      </c>
      <c r="X14" s="18">
        <f t="shared" si="6"/>
        <v>119046.05</v>
      </c>
      <c r="Y14" s="18">
        <f t="shared" si="6"/>
        <v>124308.92</v>
      </c>
      <c r="Z14" s="18">
        <f t="shared" si="6"/>
        <v>121338.41</v>
      </c>
      <c r="AA14" s="18">
        <f t="shared" si="6"/>
        <v>113356.13</v>
      </c>
      <c r="AB14" s="18">
        <f t="shared" si="6"/>
        <v>110962.19</v>
      </c>
      <c r="AC14" s="18">
        <f t="shared" si="6"/>
        <v>117535.91</v>
      </c>
      <c r="AD14" s="18">
        <f t="shared" si="6"/>
        <v>95135.039999999994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689200</v>
      </c>
      <c r="C15" s="23">
        <f>1500+34700-7664</f>
        <v>28536</v>
      </c>
      <c r="D15" s="23">
        <f>2173+20800-6560</f>
        <v>16413</v>
      </c>
      <c r="E15" s="23">
        <f>500+18200-6642</f>
        <v>12058</v>
      </c>
      <c r="F15" s="23">
        <f>2270+10800-3622</f>
        <v>9448</v>
      </c>
      <c r="G15" s="23">
        <f>150+79400-13910</f>
        <v>65640</v>
      </c>
      <c r="H15" s="23">
        <f>300+36900-5595</f>
        <v>31605</v>
      </c>
      <c r="I15" s="23">
        <f>950+34700-15207</f>
        <v>20443</v>
      </c>
      <c r="J15" s="23">
        <f>85+28800-8335</f>
        <v>20550</v>
      </c>
      <c r="K15" s="23">
        <f>35600-8005</f>
        <v>27595</v>
      </c>
      <c r="L15" s="23">
        <f>4687+29900-9497</f>
        <v>25090</v>
      </c>
      <c r="M15" s="23">
        <f>1000+13700-3808</f>
        <v>10892</v>
      </c>
      <c r="N15" s="23">
        <f>1680+24100-23008</f>
        <v>2772</v>
      </c>
      <c r="O15" s="23">
        <f>1735+32200-6275</f>
        <v>27660</v>
      </c>
      <c r="P15" s="23">
        <f>500+59150-11972</f>
        <v>47678</v>
      </c>
      <c r="Q15" s="23">
        <f>14400+25900-9304</f>
        <v>30996</v>
      </c>
      <c r="R15" s="23">
        <f>2200+25400-12845</f>
        <v>14755</v>
      </c>
      <c r="S15" s="23">
        <f>1405+30980-13052</f>
        <v>19333</v>
      </c>
      <c r="T15" s="23">
        <f>830+65000-6020</f>
        <v>59810</v>
      </c>
      <c r="U15" s="23">
        <f>4350+60400-22105</f>
        <v>42645</v>
      </c>
      <c r="V15" s="23">
        <f>570+16100-5000</f>
        <v>11670</v>
      </c>
      <c r="W15" s="23">
        <f>1697+12000-15530</f>
        <v>-1833</v>
      </c>
      <c r="X15" s="23">
        <f>1705+19500-8300</f>
        <v>12905</v>
      </c>
      <c r="Y15" s="23">
        <f>840+56900-2135</f>
        <v>55605</v>
      </c>
      <c r="Z15" s="23">
        <f>3320+83600-19304</f>
        <v>67616</v>
      </c>
      <c r="AA15" s="23">
        <f>2400+8900-6825</f>
        <v>4475</v>
      </c>
      <c r="AB15" s="23">
        <f>210+7500-5937</f>
        <v>1773</v>
      </c>
      <c r="AC15" s="23">
        <f>815+14100-5525</f>
        <v>9390</v>
      </c>
      <c r="AD15" s="23">
        <f>295+21000-7615</f>
        <v>13680</v>
      </c>
      <c r="AE15" s="23"/>
      <c r="AF15" s="23"/>
      <c r="AG15" s="23"/>
    </row>
    <row r="16" spans="1:33">
      <c r="A16" s="16" t="s">
        <v>16</v>
      </c>
      <c r="B16" s="23">
        <f t="shared" si="7"/>
        <v>2146917.33</v>
      </c>
      <c r="C16" s="23">
        <f>12959.52+30300</f>
        <v>43259.520000000004</v>
      </c>
      <c r="D16" s="23">
        <f>65985.03+72100+2000</f>
        <v>140085.03</v>
      </c>
      <c r="E16" s="23">
        <f>32641.82+14000+16500</f>
        <v>63141.82</v>
      </c>
      <c r="F16" s="23">
        <f>4640+18000</f>
        <v>22640</v>
      </c>
      <c r="G16" s="23">
        <f>2500+77194.48+3600+42346.45</f>
        <v>125640.93</v>
      </c>
      <c r="H16" s="23">
        <f>29275.66+5000</f>
        <v>34275.660000000003</v>
      </c>
      <c r="I16" s="23">
        <f>40704.88+33900+18800</f>
        <v>93404.88</v>
      </c>
      <c r="J16" s="23">
        <f>14637.84+38900+1500</f>
        <v>55037.84</v>
      </c>
      <c r="K16" s="23">
        <f>1465+43970.08+14000</f>
        <v>59435.08</v>
      </c>
      <c r="L16" s="23">
        <f>41541.12+24200+37800</f>
        <v>103541.12</v>
      </c>
      <c r="M16" s="23">
        <f>83431.04+5000+6600</f>
        <v>95031.039999999994</v>
      </c>
      <c r="N16" s="23">
        <f>98424.41+19500</f>
        <v>117924.41</v>
      </c>
      <c r="O16" s="23">
        <f>19994.8+13900</f>
        <v>33894.800000000003</v>
      </c>
      <c r="P16" s="23">
        <f>5400+35874.48+50396.1+17500</f>
        <v>109170.58</v>
      </c>
      <c r="Q16" s="23">
        <f>38394.88+42200+22600</f>
        <v>103194.88</v>
      </c>
      <c r="R16" s="23">
        <f>38754.37+62400+2000</f>
        <v>103154.37</v>
      </c>
      <c r="S16" s="23">
        <v>35278.92</v>
      </c>
      <c r="T16" s="23">
        <f>46315.26+6000</f>
        <v>52315.26</v>
      </c>
      <c r="U16" s="23">
        <f>78811.13+6408+6000</f>
        <v>91219.13</v>
      </c>
      <c r="V16" s="23">
        <f>74298.88+6720.92</f>
        <v>81019.8</v>
      </c>
      <c r="W16" s="23">
        <f>31356.64+12600+7500</f>
        <v>51456.639999999999</v>
      </c>
      <c r="X16" s="23">
        <f>43483.1+18199.4+24400</f>
        <v>86082.5</v>
      </c>
      <c r="Y16" s="23">
        <f>8638.56+5000</f>
        <v>13638.56</v>
      </c>
      <c r="Z16" s="23">
        <f>67248.01+18000+30000</f>
        <v>115248.01</v>
      </c>
      <c r="AA16" s="23">
        <f>38176.17+41500+12600</f>
        <v>92276.17</v>
      </c>
      <c r="AB16" s="23">
        <f>14732.43+29299.6</f>
        <v>44032.03</v>
      </c>
      <c r="AC16" s="23">
        <f>68968.88+3599.4</f>
        <v>72568.28</v>
      </c>
      <c r="AD16" s="23">
        <f>94712.23+5399.1+8838.74</f>
        <v>108950.07</v>
      </c>
      <c r="AE16" s="23"/>
      <c r="AF16" s="23"/>
      <c r="AG16" s="23"/>
    </row>
    <row r="17" spans="1:33">
      <c r="A17" s="16" t="s">
        <v>17</v>
      </c>
      <c r="B17" s="23">
        <f t="shared" si="7"/>
        <v>129400</v>
      </c>
      <c r="C17" s="23"/>
      <c r="D17" s="23"/>
      <c r="E17" s="23">
        <v>14000</v>
      </c>
      <c r="F17" s="23">
        <v>10400</v>
      </c>
      <c r="G17" s="23"/>
      <c r="H17" s="23">
        <v>12800</v>
      </c>
      <c r="I17" s="23">
        <v>2000</v>
      </c>
      <c r="J17" s="23">
        <v>3000</v>
      </c>
      <c r="K17" s="23"/>
      <c r="L17" s="23">
        <v>10950</v>
      </c>
      <c r="M17" s="23">
        <v>5250</v>
      </c>
      <c r="N17" s="23">
        <v>1600</v>
      </c>
      <c r="O17" s="23"/>
      <c r="P17" s="23"/>
      <c r="Q17" s="23">
        <v>1600</v>
      </c>
      <c r="R17" s="23">
        <v>32200</v>
      </c>
      <c r="S17" s="23">
        <v>3200</v>
      </c>
      <c r="T17" s="23">
        <v>2000</v>
      </c>
      <c r="U17" s="23">
        <v>2100</v>
      </c>
      <c r="V17" s="23"/>
      <c r="W17" s="23">
        <v>1000</v>
      </c>
      <c r="X17" s="23">
        <v>2200</v>
      </c>
      <c r="Y17" s="23">
        <v>2000</v>
      </c>
      <c r="Z17" s="23"/>
      <c r="AA17" s="23"/>
      <c r="AB17" s="23">
        <v>-2000</v>
      </c>
      <c r="AC17" s="23">
        <v>2300</v>
      </c>
      <c r="AD17" s="23">
        <v>22800</v>
      </c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53700</v>
      </c>
      <c r="C19" s="23"/>
      <c r="D19" s="23">
        <v>3600</v>
      </c>
      <c r="E19" s="23"/>
      <c r="F19" s="23"/>
      <c r="G19" s="23">
        <v>5700</v>
      </c>
      <c r="H19" s="23"/>
      <c r="I19" s="23"/>
      <c r="J19" s="23"/>
      <c r="K19" s="23"/>
      <c r="L19" s="23"/>
      <c r="M19" s="23"/>
      <c r="N19" s="23">
        <v>24800</v>
      </c>
      <c r="O19" s="23">
        <v>8000</v>
      </c>
      <c r="P19" s="23"/>
      <c r="Q19" s="23">
        <v>3600</v>
      </c>
      <c r="R19" s="23"/>
      <c r="S19" s="23"/>
      <c r="T19" s="23">
        <v>3600</v>
      </c>
      <c r="U19" s="23"/>
      <c r="V19" s="23"/>
      <c r="W19" s="23"/>
      <c r="X19" s="23"/>
      <c r="Y19" s="23"/>
      <c r="Z19" s="23"/>
      <c r="AA19" s="23"/>
      <c r="AB19" s="23"/>
      <c r="AC19" s="23">
        <v>4400</v>
      </c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123052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>
        <v>17220</v>
      </c>
      <c r="O21" s="23"/>
      <c r="P21" s="23">
        <v>11200</v>
      </c>
      <c r="Q21" s="23"/>
      <c r="R21" s="23"/>
      <c r="S21" s="23">
        <v>33600</v>
      </c>
      <c r="T21" s="23">
        <v>16000</v>
      </c>
      <c r="U21" s="23">
        <v>200</v>
      </c>
      <c r="V21" s="23"/>
      <c r="W21" s="23">
        <v>8856</v>
      </c>
      <c r="X21" s="23"/>
      <c r="Y21" s="23">
        <v>6408</v>
      </c>
      <c r="Z21" s="23">
        <v>11808</v>
      </c>
      <c r="AA21" s="23">
        <v>3000</v>
      </c>
      <c r="AB21" s="23">
        <v>14760</v>
      </c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25747.240000000005</v>
      </c>
      <c r="C23" s="24">
        <v>7400</v>
      </c>
      <c r="D23" s="24">
        <f>-3600+2000</f>
        <v>-1600</v>
      </c>
      <c r="E23" s="24">
        <v>26100</v>
      </c>
      <c r="F23" s="24">
        <f>-14350-400+29700</f>
        <v>14950</v>
      </c>
      <c r="G23" s="24">
        <f>-1439.76-15778.32+10078.32</f>
        <v>-7139.7599999999984</v>
      </c>
      <c r="H23" s="24">
        <f>-25200+11300</f>
        <v>-13900</v>
      </c>
      <c r="I23" s="24">
        <f>-17000+25835</f>
        <v>8835</v>
      </c>
      <c r="J23" s="24">
        <f>-10290-5000+10000</f>
        <v>-5290</v>
      </c>
      <c r="K23" s="24">
        <f>-9500+18200</f>
        <v>8700</v>
      </c>
      <c r="L23" s="24">
        <f>-15950+14950</f>
        <v>-1000</v>
      </c>
      <c r="M23" s="24">
        <f>-5500+2000-1000</f>
        <v>-4500</v>
      </c>
      <c r="N23" s="24">
        <f>-22800+28200</f>
        <v>5400</v>
      </c>
      <c r="O23" s="24">
        <f>-15900+10200</f>
        <v>-5700</v>
      </c>
      <c r="P23" s="24">
        <f>-3500+3500+6400</f>
        <v>6400</v>
      </c>
      <c r="Q23" s="24">
        <v>-19200</v>
      </c>
      <c r="R23" s="24">
        <f>-40900+41600</f>
        <v>700</v>
      </c>
      <c r="S23" s="24">
        <f>-2000+12600</f>
        <v>10600</v>
      </c>
      <c r="T23" s="24">
        <f>-5600+3000</f>
        <v>-2600</v>
      </c>
      <c r="U23" s="24">
        <v>2000</v>
      </c>
      <c r="V23" s="24">
        <f>-5000+6600</f>
        <v>1600</v>
      </c>
      <c r="W23" s="24">
        <v>-5000</v>
      </c>
      <c r="X23" s="24">
        <v>5000</v>
      </c>
      <c r="Y23" s="24">
        <f>-2000+2900-6408</f>
        <v>-5508</v>
      </c>
      <c r="Z23" s="24">
        <f>-1800+7000</f>
        <v>5200</v>
      </c>
      <c r="AA23" s="24">
        <v>3800</v>
      </c>
      <c r="AB23" s="24">
        <v>-27500</v>
      </c>
      <c r="AC23" s="24">
        <f>-19400-2300+36700</f>
        <v>15000</v>
      </c>
      <c r="AD23" s="24">
        <v>3000</v>
      </c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3168016.5700000003</v>
      </c>
      <c r="C24" s="19">
        <f>SUM(C15:C23)</f>
        <v>79195.520000000004</v>
      </c>
      <c r="D24" s="19">
        <f t="shared" ref="D24:U24" si="8">SUM(D15:D23)</f>
        <v>158498.03</v>
      </c>
      <c r="E24" s="19">
        <f t="shared" si="8"/>
        <v>115299.82</v>
      </c>
      <c r="F24" s="19">
        <f t="shared" si="8"/>
        <v>57438</v>
      </c>
      <c r="G24" s="19">
        <f t="shared" si="8"/>
        <v>189841.16999999998</v>
      </c>
      <c r="H24" s="19">
        <f t="shared" si="8"/>
        <v>64780.66</v>
      </c>
      <c r="I24" s="19">
        <f t="shared" si="8"/>
        <v>124682.88</v>
      </c>
      <c r="J24" s="19">
        <f t="shared" si="8"/>
        <v>73297.84</v>
      </c>
      <c r="K24" s="19">
        <f t="shared" si="8"/>
        <v>95730.08</v>
      </c>
      <c r="L24" s="19">
        <f t="shared" si="8"/>
        <v>138581.12</v>
      </c>
      <c r="M24" s="19">
        <f t="shared" si="8"/>
        <v>106673.04</v>
      </c>
      <c r="N24" s="19">
        <f t="shared" si="8"/>
        <v>169716.41</v>
      </c>
      <c r="O24" s="19">
        <f t="shared" si="8"/>
        <v>63854.8</v>
      </c>
      <c r="P24" s="19">
        <f t="shared" si="8"/>
        <v>174448.58000000002</v>
      </c>
      <c r="Q24" s="19">
        <f t="shared" si="8"/>
        <v>120190.88</v>
      </c>
      <c r="R24" s="19">
        <f t="shared" si="8"/>
        <v>150809.37</v>
      </c>
      <c r="S24" s="19">
        <f t="shared" si="8"/>
        <v>102011.92</v>
      </c>
      <c r="T24" s="19">
        <f t="shared" si="8"/>
        <v>131125.26</v>
      </c>
      <c r="U24" s="19">
        <f t="shared" si="8"/>
        <v>138164.13</v>
      </c>
      <c r="V24" s="19">
        <f>SUM(V15:V23)</f>
        <v>94289.8</v>
      </c>
      <c r="W24" s="19">
        <f t="shared" ref="W24:AG24" si="9">SUM(W15:W23)</f>
        <v>54479.64</v>
      </c>
      <c r="X24" s="19">
        <f t="shared" si="9"/>
        <v>106187.5</v>
      </c>
      <c r="Y24" s="19">
        <f t="shared" si="9"/>
        <v>72143.56</v>
      </c>
      <c r="Z24" s="19">
        <f t="shared" si="9"/>
        <v>199872.01</v>
      </c>
      <c r="AA24" s="19">
        <f t="shared" si="9"/>
        <v>103551.17</v>
      </c>
      <c r="AB24" s="19">
        <f t="shared" si="9"/>
        <v>31065.03</v>
      </c>
      <c r="AC24" s="19">
        <f t="shared" si="9"/>
        <v>103658.28</v>
      </c>
      <c r="AD24" s="19">
        <f t="shared" si="9"/>
        <v>148430.07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293376.58999999985</v>
      </c>
      <c r="C25" s="20">
        <f>C10+C14-C24</f>
        <v>-310475.03999999998</v>
      </c>
      <c r="D25" s="20">
        <f t="shared" ref="D25:AG25" si="10">D10+D14-D24</f>
        <v>-345645.93999999994</v>
      </c>
      <c r="E25" s="20">
        <f t="shared" si="10"/>
        <v>-337906.75999999995</v>
      </c>
      <c r="F25" s="20">
        <f t="shared" si="10"/>
        <v>-268597.71999999997</v>
      </c>
      <c r="G25" s="20">
        <f t="shared" si="10"/>
        <v>-347231.95999999996</v>
      </c>
      <c r="H25" s="20">
        <f t="shared" si="10"/>
        <v>-296903.64</v>
      </c>
      <c r="I25" s="20">
        <f t="shared" si="10"/>
        <v>-303155.88</v>
      </c>
      <c r="J25" s="20">
        <f t="shared" si="10"/>
        <v>-243568.96</v>
      </c>
      <c r="K25" s="20">
        <f t="shared" si="10"/>
        <v>-207577.27999999997</v>
      </c>
      <c r="L25" s="20">
        <f t="shared" si="10"/>
        <v>-212312.53999999998</v>
      </c>
      <c r="M25" s="20">
        <f t="shared" si="10"/>
        <v>-187805.41999999998</v>
      </c>
      <c r="N25" s="20">
        <f t="shared" si="10"/>
        <v>-238748.15</v>
      </c>
      <c r="O25" s="20">
        <f t="shared" si="10"/>
        <v>-169324.27000000002</v>
      </c>
      <c r="P25" s="20">
        <f t="shared" si="10"/>
        <v>-202620.36000000004</v>
      </c>
      <c r="Q25" s="20">
        <f t="shared" si="10"/>
        <v>-188072.74000000005</v>
      </c>
      <c r="R25" s="20">
        <f t="shared" si="10"/>
        <v>-206220.26000000004</v>
      </c>
      <c r="S25" s="20">
        <f t="shared" si="10"/>
        <v>-187918.20000000004</v>
      </c>
      <c r="T25" s="20">
        <f t="shared" si="10"/>
        <v>-186623.57000000004</v>
      </c>
      <c r="U25" s="20">
        <f t="shared" si="10"/>
        <v>-208544.79000000004</v>
      </c>
      <c r="V25" s="20">
        <f t="shared" si="10"/>
        <v>-171089.59000000003</v>
      </c>
      <c r="W25" s="20">
        <f t="shared" si="10"/>
        <v>-108074.56000000003</v>
      </c>
      <c r="X25" s="20">
        <f t="shared" si="10"/>
        <v>-95216.010000000024</v>
      </c>
      <c r="Y25" s="20">
        <f t="shared" si="10"/>
        <v>-43050.650000000023</v>
      </c>
      <c r="Z25" s="20">
        <f t="shared" si="10"/>
        <v>-121584.25000000003</v>
      </c>
      <c r="AA25" s="20">
        <f t="shared" si="10"/>
        <v>-111779.29000000002</v>
      </c>
      <c r="AB25" s="20">
        <f t="shared" si="10"/>
        <v>-31882.130000000019</v>
      </c>
      <c r="AC25" s="20">
        <f t="shared" si="10"/>
        <v>-18004.500000000015</v>
      </c>
      <c r="AD25" s="20">
        <f t="shared" si="10"/>
        <v>-71299.530000000028</v>
      </c>
      <c r="AE25" s="20">
        <f t="shared" si="10"/>
        <v>-71299.530000000028</v>
      </c>
      <c r="AF25" s="20">
        <f t="shared" si="10"/>
        <v>-71299.530000000028</v>
      </c>
      <c r="AG25" s="20">
        <f t="shared" si="10"/>
        <v>-71299.530000000028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40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1876</v>
      </c>
      <c r="C3" s="27">
        <v>67</v>
      </c>
      <c r="D3" s="27">
        <v>67</v>
      </c>
      <c r="E3" s="27">
        <v>67</v>
      </c>
      <c r="F3" s="27">
        <v>67</v>
      </c>
      <c r="G3" s="27">
        <v>67</v>
      </c>
      <c r="H3" s="27">
        <v>67</v>
      </c>
      <c r="I3" s="27">
        <v>67</v>
      </c>
      <c r="J3" s="27">
        <v>67</v>
      </c>
      <c r="K3" s="27">
        <v>67</v>
      </c>
      <c r="L3" s="27">
        <v>67</v>
      </c>
      <c r="M3" s="27">
        <v>67</v>
      </c>
      <c r="N3" s="27">
        <v>67</v>
      </c>
      <c r="O3" s="27">
        <v>67</v>
      </c>
      <c r="P3" s="27">
        <v>67</v>
      </c>
      <c r="Q3" s="27">
        <v>67</v>
      </c>
      <c r="R3" s="27">
        <v>67</v>
      </c>
      <c r="S3" s="27">
        <v>67</v>
      </c>
      <c r="T3" s="27">
        <v>67</v>
      </c>
      <c r="U3" s="27">
        <v>67</v>
      </c>
      <c r="V3" s="27">
        <v>67</v>
      </c>
      <c r="W3" s="27">
        <v>67</v>
      </c>
      <c r="X3" s="27">
        <v>67</v>
      </c>
      <c r="Y3" s="27">
        <v>67</v>
      </c>
      <c r="Z3" s="27">
        <v>67</v>
      </c>
      <c r="AA3" s="27">
        <v>67</v>
      </c>
      <c r="AB3" s="27">
        <v>67</v>
      </c>
      <c r="AC3" s="27">
        <v>67</v>
      </c>
      <c r="AD3" s="27">
        <v>67</v>
      </c>
      <c r="AE3" s="27"/>
      <c r="AF3" s="27"/>
      <c r="AG3" s="27"/>
    </row>
    <row r="4" spans="1:33">
      <c r="A4" s="26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1876</v>
      </c>
      <c r="C5" s="5">
        <f t="shared" ref="C5:AG5" si="1">+C3-C4</f>
        <v>67</v>
      </c>
      <c r="D5" s="5">
        <f t="shared" si="1"/>
        <v>67</v>
      </c>
      <c r="E5" s="5">
        <f t="shared" si="1"/>
        <v>67</v>
      </c>
      <c r="F5" s="5">
        <f t="shared" si="1"/>
        <v>67</v>
      </c>
      <c r="G5" s="5">
        <f t="shared" si="1"/>
        <v>67</v>
      </c>
      <c r="H5" s="5">
        <f t="shared" si="1"/>
        <v>67</v>
      </c>
      <c r="I5" s="5">
        <f t="shared" si="1"/>
        <v>67</v>
      </c>
      <c r="J5" s="5">
        <f t="shared" si="1"/>
        <v>67</v>
      </c>
      <c r="K5" s="5">
        <f t="shared" si="1"/>
        <v>67</v>
      </c>
      <c r="L5" s="5">
        <f t="shared" si="1"/>
        <v>67</v>
      </c>
      <c r="M5" s="5">
        <f t="shared" si="1"/>
        <v>67</v>
      </c>
      <c r="N5" s="5">
        <f t="shared" si="1"/>
        <v>67</v>
      </c>
      <c r="O5" s="5">
        <f t="shared" si="1"/>
        <v>67</v>
      </c>
      <c r="P5" s="5">
        <f t="shared" si="1"/>
        <v>67</v>
      </c>
      <c r="Q5" s="5">
        <f t="shared" si="1"/>
        <v>67</v>
      </c>
      <c r="R5" s="5">
        <f t="shared" si="1"/>
        <v>67</v>
      </c>
      <c r="S5" s="5">
        <f t="shared" si="1"/>
        <v>67</v>
      </c>
      <c r="T5" s="5">
        <f t="shared" si="1"/>
        <v>67</v>
      </c>
      <c r="U5" s="5">
        <f t="shared" si="1"/>
        <v>67</v>
      </c>
      <c r="V5" s="5">
        <f t="shared" si="1"/>
        <v>67</v>
      </c>
      <c r="W5" s="5">
        <f t="shared" si="1"/>
        <v>67</v>
      </c>
      <c r="X5" s="5">
        <f t="shared" si="1"/>
        <v>67</v>
      </c>
      <c r="Y5" s="5">
        <f t="shared" si="1"/>
        <v>67</v>
      </c>
      <c r="Z5" s="5">
        <f t="shared" si="1"/>
        <v>67</v>
      </c>
      <c r="AA5" s="5">
        <f t="shared" si="1"/>
        <v>67</v>
      </c>
      <c r="AB5" s="5">
        <f t="shared" si="1"/>
        <v>67</v>
      </c>
      <c r="AC5" s="5">
        <f t="shared" si="1"/>
        <v>67</v>
      </c>
      <c r="AD5" s="5">
        <f t="shared" si="1"/>
        <v>67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859</v>
      </c>
      <c r="C6" s="34">
        <v>31</v>
      </c>
      <c r="D6" s="34">
        <v>29</v>
      </c>
      <c r="E6" s="34">
        <v>29</v>
      </c>
      <c r="F6" s="34">
        <v>28</v>
      </c>
      <c r="G6" s="34">
        <v>28</v>
      </c>
      <c r="H6" s="34">
        <v>28</v>
      </c>
      <c r="I6" s="34">
        <v>28</v>
      </c>
      <c r="J6" s="34">
        <v>28</v>
      </c>
      <c r="K6" s="34">
        <v>28</v>
      </c>
      <c r="L6" s="34">
        <v>28</v>
      </c>
      <c r="M6" s="34">
        <v>32</v>
      </c>
      <c r="N6" s="34">
        <v>33</v>
      </c>
      <c r="O6" s="34">
        <v>34</v>
      </c>
      <c r="P6" s="34">
        <v>33</v>
      </c>
      <c r="Q6" s="34">
        <v>33</v>
      </c>
      <c r="R6" s="34">
        <v>31</v>
      </c>
      <c r="S6" s="34">
        <v>33</v>
      </c>
      <c r="T6" s="34">
        <v>33</v>
      </c>
      <c r="U6" s="34">
        <v>30</v>
      </c>
      <c r="V6" s="34">
        <v>30</v>
      </c>
      <c r="W6" s="34">
        <v>32</v>
      </c>
      <c r="X6" s="34">
        <v>33</v>
      </c>
      <c r="Y6" s="34">
        <v>34</v>
      </c>
      <c r="Z6" s="34">
        <v>32</v>
      </c>
      <c r="AA6" s="34">
        <v>34</v>
      </c>
      <c r="AB6" s="34">
        <v>30</v>
      </c>
      <c r="AC6" s="34">
        <v>28</v>
      </c>
      <c r="AD6" s="34">
        <v>29</v>
      </c>
      <c r="AE6" s="34"/>
      <c r="AF6" s="34"/>
      <c r="AG6" s="34"/>
    </row>
    <row r="7" spans="1:33">
      <c r="A7" s="4" t="s">
        <v>4</v>
      </c>
      <c r="B7" s="7">
        <f>IF(B6=0,0,B6/B5)</f>
        <v>0.45788912579957358</v>
      </c>
      <c r="C7" s="7">
        <f t="shared" ref="C7:AG7" si="2">IF(C6=0,0,C6/C5)</f>
        <v>0.46268656716417911</v>
      </c>
      <c r="D7" s="7">
        <f t="shared" si="2"/>
        <v>0.43283582089552236</v>
      </c>
      <c r="E7" s="7">
        <f t="shared" si="2"/>
        <v>0.43283582089552236</v>
      </c>
      <c r="F7" s="7">
        <f t="shared" si="2"/>
        <v>0.41791044776119401</v>
      </c>
      <c r="G7" s="7">
        <f t="shared" si="2"/>
        <v>0.41791044776119401</v>
      </c>
      <c r="H7" s="7">
        <f t="shared" si="2"/>
        <v>0.41791044776119401</v>
      </c>
      <c r="I7" s="7">
        <f t="shared" si="2"/>
        <v>0.41791044776119401</v>
      </c>
      <c r="J7" s="7">
        <f t="shared" si="2"/>
        <v>0.41791044776119401</v>
      </c>
      <c r="K7" s="7">
        <f t="shared" si="2"/>
        <v>0.41791044776119401</v>
      </c>
      <c r="L7" s="7">
        <f t="shared" si="2"/>
        <v>0.41791044776119401</v>
      </c>
      <c r="M7" s="7">
        <f t="shared" si="2"/>
        <v>0.47761194029850745</v>
      </c>
      <c r="N7" s="7">
        <f t="shared" si="2"/>
        <v>0.4925373134328358</v>
      </c>
      <c r="O7" s="7">
        <f t="shared" si="2"/>
        <v>0.5074626865671642</v>
      </c>
      <c r="P7" s="7">
        <f t="shared" si="2"/>
        <v>0.4925373134328358</v>
      </c>
      <c r="Q7" s="7">
        <f t="shared" si="2"/>
        <v>0.4925373134328358</v>
      </c>
      <c r="R7" s="7">
        <f t="shared" si="2"/>
        <v>0.46268656716417911</v>
      </c>
      <c r="S7" s="7">
        <f t="shared" si="2"/>
        <v>0.4925373134328358</v>
      </c>
      <c r="T7" s="7">
        <f t="shared" si="2"/>
        <v>0.4925373134328358</v>
      </c>
      <c r="U7" s="7">
        <f t="shared" si="2"/>
        <v>0.44776119402985076</v>
      </c>
      <c r="V7" s="7">
        <f t="shared" si="2"/>
        <v>0.44776119402985076</v>
      </c>
      <c r="W7" s="7">
        <f t="shared" si="2"/>
        <v>0.47761194029850745</v>
      </c>
      <c r="X7" s="7">
        <f t="shared" si="2"/>
        <v>0.4925373134328358</v>
      </c>
      <c r="Y7" s="7">
        <f t="shared" si="2"/>
        <v>0.5074626865671642</v>
      </c>
      <c r="Z7" s="7">
        <f t="shared" si="2"/>
        <v>0.47761194029850745</v>
      </c>
      <c r="AA7" s="7">
        <f t="shared" si="2"/>
        <v>0.5074626865671642</v>
      </c>
      <c r="AB7" s="7">
        <f t="shared" si="2"/>
        <v>0.44776119402985076</v>
      </c>
      <c r="AC7" s="7">
        <f t="shared" si="2"/>
        <v>0.41791044776119401</v>
      </c>
      <c r="AD7" s="7">
        <f t="shared" si="2"/>
        <v>0.43283582089552236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211.12940628637952</v>
      </c>
      <c r="C8" s="6">
        <f t="shared" ref="C8:AG8" si="3">IF(C6=0,0,C11/C6)</f>
        <v>422.36193548387092</v>
      </c>
      <c r="D8" s="6">
        <f t="shared" si="3"/>
        <v>175.62827586206896</v>
      </c>
      <c r="E8" s="6">
        <f t="shared" si="3"/>
        <v>175.62827586206896</v>
      </c>
      <c r="F8" s="6">
        <f t="shared" si="3"/>
        <v>155.11500000000001</v>
      </c>
      <c r="G8" s="6">
        <f t="shared" si="3"/>
        <v>155.11500000000001</v>
      </c>
      <c r="H8" s="6">
        <f t="shared" si="3"/>
        <v>155.11500000000001</v>
      </c>
      <c r="I8" s="6">
        <f t="shared" si="3"/>
        <v>155.11500000000001</v>
      </c>
      <c r="J8" s="6">
        <f t="shared" si="3"/>
        <v>155.11500000000001</v>
      </c>
      <c r="K8" s="6">
        <f t="shared" si="3"/>
        <v>155.11500000000001</v>
      </c>
      <c r="L8" s="6">
        <f t="shared" si="3"/>
        <v>155.11500000000001</v>
      </c>
      <c r="M8" s="6">
        <f t="shared" si="3"/>
        <v>235.72562500000001</v>
      </c>
      <c r="N8" s="6">
        <f t="shared" si="3"/>
        <v>224.03696969696969</v>
      </c>
      <c r="O8" s="6">
        <f t="shared" si="3"/>
        <v>252.74176470588233</v>
      </c>
      <c r="P8" s="6">
        <f t="shared" si="3"/>
        <v>237.67333333333335</v>
      </c>
      <c r="Q8" s="6">
        <f t="shared" si="3"/>
        <v>231.61272727272728</v>
      </c>
      <c r="R8" s="6">
        <f t="shared" si="3"/>
        <v>204.62</v>
      </c>
      <c r="S8" s="6">
        <f t="shared" si="3"/>
        <v>245.24909090909091</v>
      </c>
      <c r="T8" s="6">
        <f t="shared" si="3"/>
        <v>245.24909090909091</v>
      </c>
      <c r="U8" s="6">
        <f t="shared" si="3"/>
        <v>194.774</v>
      </c>
      <c r="V8" s="6">
        <f t="shared" si="3"/>
        <v>178.10733333333334</v>
      </c>
      <c r="W8" s="6">
        <f t="shared" si="3"/>
        <v>221.66312500000001</v>
      </c>
      <c r="X8" s="6">
        <f t="shared" si="3"/>
        <v>237.67333333333335</v>
      </c>
      <c r="Y8" s="6">
        <f t="shared" si="3"/>
        <v>304.21235294117645</v>
      </c>
      <c r="Z8" s="6">
        <f t="shared" si="3"/>
        <v>198.22562500000001</v>
      </c>
      <c r="AA8" s="6">
        <f t="shared" si="3"/>
        <v>230.68294117647059</v>
      </c>
      <c r="AB8" s="6">
        <f t="shared" si="3"/>
        <v>194.774</v>
      </c>
      <c r="AC8" s="6">
        <f t="shared" si="3"/>
        <v>155.11500000000001</v>
      </c>
      <c r="AD8" s="6">
        <f t="shared" si="3"/>
        <v>182.5248275862069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96.673859275053303</v>
      </c>
      <c r="C9" s="6">
        <f t="shared" ref="C9:AG9" si="4">IF(C11=0,0,C11/C3)</f>
        <v>195.42119402985074</v>
      </c>
      <c r="D9" s="6">
        <f t="shared" si="4"/>
        <v>76.018208955223884</v>
      </c>
      <c r="E9" s="6">
        <f t="shared" si="4"/>
        <v>76.018208955223884</v>
      </c>
      <c r="F9" s="6">
        <f t="shared" si="4"/>
        <v>64.824179104477622</v>
      </c>
      <c r="G9" s="6">
        <f t="shared" si="4"/>
        <v>64.824179104477622</v>
      </c>
      <c r="H9" s="6">
        <f t="shared" si="4"/>
        <v>64.824179104477622</v>
      </c>
      <c r="I9" s="6">
        <f t="shared" si="4"/>
        <v>64.824179104477622</v>
      </c>
      <c r="J9" s="6">
        <f t="shared" si="4"/>
        <v>64.824179104477622</v>
      </c>
      <c r="K9" s="6">
        <f t="shared" si="4"/>
        <v>64.824179104477622</v>
      </c>
      <c r="L9" s="6">
        <f t="shared" si="4"/>
        <v>64.824179104477622</v>
      </c>
      <c r="M9" s="6">
        <f t="shared" si="4"/>
        <v>112.58537313432836</v>
      </c>
      <c r="N9" s="6">
        <f t="shared" si="4"/>
        <v>110.34656716417911</v>
      </c>
      <c r="O9" s="6">
        <f t="shared" si="4"/>
        <v>128.25701492537311</v>
      </c>
      <c r="P9" s="6">
        <f t="shared" si="4"/>
        <v>117.06298507462687</v>
      </c>
      <c r="Q9" s="6">
        <f t="shared" si="4"/>
        <v>114.0779104477612</v>
      </c>
      <c r="R9" s="6">
        <f t="shared" si="4"/>
        <v>94.674925373134329</v>
      </c>
      <c r="S9" s="6">
        <f t="shared" si="4"/>
        <v>120.79432835820896</v>
      </c>
      <c r="T9" s="6">
        <f t="shared" si="4"/>
        <v>120.79432835820896</v>
      </c>
      <c r="U9" s="6">
        <f t="shared" si="4"/>
        <v>87.212238805970159</v>
      </c>
      <c r="V9" s="6">
        <f t="shared" si="4"/>
        <v>79.749552238805975</v>
      </c>
      <c r="W9" s="6">
        <f t="shared" si="4"/>
        <v>105.8689552238806</v>
      </c>
      <c r="X9" s="6">
        <f t="shared" si="4"/>
        <v>117.06298507462687</v>
      </c>
      <c r="Y9" s="6">
        <f t="shared" si="4"/>
        <v>154.37641791044774</v>
      </c>
      <c r="Z9" s="6">
        <f t="shared" si="4"/>
        <v>94.674925373134329</v>
      </c>
      <c r="AA9" s="6">
        <f t="shared" si="4"/>
        <v>117.06298507462687</v>
      </c>
      <c r="AB9" s="6">
        <f t="shared" si="4"/>
        <v>87.212238805970159</v>
      </c>
      <c r="AC9" s="6">
        <f t="shared" si="4"/>
        <v>64.824179104477622</v>
      </c>
      <c r="AD9" s="6">
        <f t="shared" si="4"/>
        <v>79.003283582089551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-256796.88</v>
      </c>
      <c r="D10" s="29">
        <f>C25</f>
        <v>-254703.66</v>
      </c>
      <c r="E10" s="29">
        <f t="shared" ref="E10:AG10" si="5">D25</f>
        <v>-252610.44</v>
      </c>
      <c r="F10" s="29">
        <f t="shared" si="5"/>
        <v>-257417.04</v>
      </c>
      <c r="G10" s="29">
        <f t="shared" si="5"/>
        <v>-260023.82</v>
      </c>
      <c r="H10" s="29">
        <f t="shared" si="5"/>
        <v>-275980.59999999998</v>
      </c>
      <c r="I10" s="29">
        <f t="shared" si="5"/>
        <v>-276637.38</v>
      </c>
      <c r="J10" s="29">
        <f t="shared" si="5"/>
        <v>-272294.16000000003</v>
      </c>
      <c r="K10" s="29">
        <f t="shared" si="5"/>
        <v>-272917.02</v>
      </c>
      <c r="L10" s="29">
        <f t="shared" si="5"/>
        <v>-268573.80000000005</v>
      </c>
      <c r="M10" s="29">
        <f t="shared" si="5"/>
        <v>-269230.58000000007</v>
      </c>
      <c r="N10" s="29">
        <f t="shared" si="5"/>
        <v>-242901.65000000008</v>
      </c>
      <c r="O10" s="29">
        <f t="shared" si="5"/>
        <v>-253758.03000000009</v>
      </c>
      <c r="P10" s="29">
        <f t="shared" si="5"/>
        <v>-246664.81000000008</v>
      </c>
      <c r="Q10" s="29">
        <f t="shared" si="5"/>
        <v>-243321.59000000008</v>
      </c>
      <c r="R10" s="29">
        <f t="shared" si="5"/>
        <v>-238928.37000000008</v>
      </c>
      <c r="S10" s="29">
        <f t="shared" si="5"/>
        <v>-238385.15000000008</v>
      </c>
      <c r="T10" s="29">
        <f t="shared" si="5"/>
        <v>-238791.93000000008</v>
      </c>
      <c r="U10" s="29">
        <f t="shared" si="5"/>
        <v>-230698.21000000008</v>
      </c>
      <c r="V10" s="29">
        <f t="shared" si="5"/>
        <v>-234854.99000000008</v>
      </c>
      <c r="W10" s="29">
        <f t="shared" si="5"/>
        <v>-235011.77000000008</v>
      </c>
      <c r="X10" s="29">
        <f t="shared" si="5"/>
        <v>-240420.75000000009</v>
      </c>
      <c r="Y10" s="29">
        <f t="shared" si="5"/>
        <v>-234077.53000000009</v>
      </c>
      <c r="Z10" s="29">
        <f t="shared" si="5"/>
        <v>-226734.31000000008</v>
      </c>
      <c r="AA10" s="29">
        <f t="shared" si="5"/>
        <v>-238141.09000000008</v>
      </c>
      <c r="AB10" s="29">
        <f t="shared" si="5"/>
        <v>-232297.87000000008</v>
      </c>
      <c r="AC10" s="29">
        <f t="shared" si="5"/>
        <v>-227454.65000000008</v>
      </c>
      <c r="AD10" s="29">
        <f t="shared" si="5"/>
        <v>-226111.43000000008</v>
      </c>
      <c r="AE10" s="29">
        <f t="shared" si="5"/>
        <v>-227818.21000000008</v>
      </c>
      <c r="AF10" s="29">
        <f t="shared" si="5"/>
        <v>-227818.21000000008</v>
      </c>
      <c r="AG10" s="29">
        <f t="shared" si="5"/>
        <v>-227818.21000000008</v>
      </c>
    </row>
    <row r="11" spans="1:33">
      <c r="A11" s="4" t="s">
        <v>8</v>
      </c>
      <c r="B11" s="23">
        <f>SUM(C11:AG11)</f>
        <v>181360.16</v>
      </c>
      <c r="C11" s="23">
        <v>13093.22</v>
      </c>
      <c r="D11" s="23">
        <v>5093.22</v>
      </c>
      <c r="E11" s="23">
        <v>5093.22</v>
      </c>
      <c r="F11" s="23">
        <v>4343.22</v>
      </c>
      <c r="G11" s="23">
        <v>4343.22</v>
      </c>
      <c r="H11" s="23">
        <v>4343.22</v>
      </c>
      <c r="I11" s="23">
        <v>4343.22</v>
      </c>
      <c r="J11" s="23">
        <v>4343.22</v>
      </c>
      <c r="K11" s="23">
        <v>4343.22</v>
      </c>
      <c r="L11" s="23">
        <v>4343.22</v>
      </c>
      <c r="M11" s="23">
        <v>7543.22</v>
      </c>
      <c r="N11" s="23">
        <v>7393.22</v>
      </c>
      <c r="O11" s="23">
        <v>8593.2199999999993</v>
      </c>
      <c r="P11" s="23">
        <v>7843.22</v>
      </c>
      <c r="Q11" s="23">
        <v>7643.22</v>
      </c>
      <c r="R11" s="23">
        <v>6343.22</v>
      </c>
      <c r="S11" s="23">
        <v>8093.22</v>
      </c>
      <c r="T11" s="23">
        <v>8093.22</v>
      </c>
      <c r="U11" s="23">
        <v>5843.22</v>
      </c>
      <c r="V11" s="23">
        <v>5343.22</v>
      </c>
      <c r="W11" s="23">
        <v>7093.22</v>
      </c>
      <c r="X11" s="23">
        <v>7843.22</v>
      </c>
      <c r="Y11" s="23">
        <v>10343.219999999999</v>
      </c>
      <c r="Z11" s="23">
        <v>6343.22</v>
      </c>
      <c r="AA11" s="23">
        <v>7843.22</v>
      </c>
      <c r="AB11" s="23">
        <v>5843.22</v>
      </c>
      <c r="AC11" s="23">
        <v>4343.22</v>
      </c>
      <c r="AD11" s="23">
        <v>5293.22</v>
      </c>
      <c r="AE11" s="23"/>
      <c r="AF11" s="23"/>
      <c r="AG11" s="23"/>
    </row>
    <row r="12" spans="1:33">
      <c r="A12" s="4" t="s">
        <v>9</v>
      </c>
      <c r="B12" s="23">
        <f>SUM(C12:AG12)</f>
        <v>0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</row>
    <row r="13" spans="1:33">
      <c r="A13" s="8" t="s">
        <v>10</v>
      </c>
      <c r="B13" s="23">
        <f>SUM(C13:AG13)</f>
        <v>52298.51</v>
      </c>
      <c r="C13" s="24">
        <f>686+175</f>
        <v>861</v>
      </c>
      <c r="D13" s="24">
        <f>805+125</f>
        <v>930</v>
      </c>
      <c r="E13" s="24">
        <v>1661.18</v>
      </c>
      <c r="F13" s="24">
        <v>2627</v>
      </c>
      <c r="G13" s="24">
        <v>8203</v>
      </c>
      <c r="H13" s="24">
        <f>140+150</f>
        <v>290</v>
      </c>
      <c r="I13" s="24"/>
      <c r="J13" s="24">
        <f>33.92+840+150</f>
        <v>1023.92</v>
      </c>
      <c r="K13" s="23"/>
      <c r="L13" s="23">
        <f>1113+150</f>
        <v>1263</v>
      </c>
      <c r="M13" s="23">
        <f>1102.78+1302+150+22182.93</f>
        <v>24737.71</v>
      </c>
      <c r="N13" s="23">
        <f>0.4+300</f>
        <v>300.39999999999998</v>
      </c>
      <c r="O13" s="23"/>
      <c r="P13" s="23"/>
      <c r="Q13" s="23"/>
      <c r="R13" s="23">
        <f>200+399+150</f>
        <v>749</v>
      </c>
      <c r="S13" s="23">
        <f>1323+150</f>
        <v>1473</v>
      </c>
      <c r="T13" s="23">
        <v>0.5</v>
      </c>
      <c r="U13" s="23">
        <f>77+125</f>
        <v>202</v>
      </c>
      <c r="V13" s="23">
        <v>-750</v>
      </c>
      <c r="W13" s="23">
        <f>0.2+2289+275-2.4</f>
        <v>2561.7999999999997</v>
      </c>
      <c r="X13" s="23"/>
      <c r="Y13" s="23"/>
      <c r="Z13" s="23">
        <f>3010+375</f>
        <v>3385</v>
      </c>
      <c r="AA13" s="23"/>
      <c r="AB13" s="23">
        <v>1200</v>
      </c>
      <c r="AC13" s="23">
        <f>3593.22-AC11</f>
        <v>-750.00000000000045</v>
      </c>
      <c r="AD13" s="23">
        <f>7623.22-AD11</f>
        <v>2330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233658.67</v>
      </c>
      <c r="C14" s="18">
        <f>SUM(C11:C13)</f>
        <v>13954.22</v>
      </c>
      <c r="D14" s="18">
        <f t="shared" ref="D14:AG14" si="6">SUM(D11:D13)</f>
        <v>6023.22</v>
      </c>
      <c r="E14" s="18">
        <f t="shared" si="6"/>
        <v>6754.4000000000005</v>
      </c>
      <c r="F14" s="18">
        <f t="shared" si="6"/>
        <v>6970.22</v>
      </c>
      <c r="G14" s="18">
        <f t="shared" si="6"/>
        <v>12546.220000000001</v>
      </c>
      <c r="H14" s="18">
        <f t="shared" si="6"/>
        <v>4633.22</v>
      </c>
      <c r="I14" s="18">
        <f t="shared" si="6"/>
        <v>4343.22</v>
      </c>
      <c r="J14" s="18">
        <f t="shared" si="6"/>
        <v>5367.14</v>
      </c>
      <c r="K14" s="18">
        <f t="shared" si="6"/>
        <v>4343.22</v>
      </c>
      <c r="L14" s="18">
        <f t="shared" si="6"/>
        <v>5606.22</v>
      </c>
      <c r="M14" s="18">
        <f t="shared" si="6"/>
        <v>32280.93</v>
      </c>
      <c r="N14" s="18">
        <f t="shared" si="6"/>
        <v>7693.62</v>
      </c>
      <c r="O14" s="18">
        <f t="shared" si="6"/>
        <v>8593.2199999999993</v>
      </c>
      <c r="P14" s="18">
        <f t="shared" si="6"/>
        <v>7843.22</v>
      </c>
      <c r="Q14" s="18">
        <f t="shared" si="6"/>
        <v>7643.22</v>
      </c>
      <c r="R14" s="18">
        <f t="shared" si="6"/>
        <v>7092.22</v>
      </c>
      <c r="S14" s="18">
        <f t="shared" si="6"/>
        <v>9566.2200000000012</v>
      </c>
      <c r="T14" s="18">
        <f t="shared" si="6"/>
        <v>8093.72</v>
      </c>
      <c r="U14" s="18">
        <f t="shared" si="6"/>
        <v>6045.22</v>
      </c>
      <c r="V14" s="18">
        <f t="shared" si="6"/>
        <v>4593.22</v>
      </c>
      <c r="W14" s="18">
        <f t="shared" si="6"/>
        <v>9655.02</v>
      </c>
      <c r="X14" s="18">
        <f t="shared" si="6"/>
        <v>7843.22</v>
      </c>
      <c r="Y14" s="18">
        <f t="shared" si="6"/>
        <v>10343.219999999999</v>
      </c>
      <c r="Z14" s="18">
        <f t="shared" si="6"/>
        <v>9728.2200000000012</v>
      </c>
      <c r="AA14" s="18">
        <f t="shared" si="6"/>
        <v>7843.22</v>
      </c>
      <c r="AB14" s="18">
        <f t="shared" si="6"/>
        <v>7043.22</v>
      </c>
      <c r="AC14" s="18">
        <f t="shared" si="6"/>
        <v>3593.22</v>
      </c>
      <c r="AD14" s="18">
        <f t="shared" si="6"/>
        <v>7623.22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132425</v>
      </c>
      <c r="C15" s="23">
        <v>11861</v>
      </c>
      <c r="D15" s="23">
        <v>3930</v>
      </c>
      <c r="E15" s="23">
        <v>11561</v>
      </c>
      <c r="F15" s="23">
        <v>7327</v>
      </c>
      <c r="G15" s="23">
        <v>28503</v>
      </c>
      <c r="H15" s="23">
        <v>5290</v>
      </c>
      <c r="I15" s="23"/>
      <c r="J15" s="23">
        <v>5990</v>
      </c>
      <c r="K15" s="23"/>
      <c r="L15" s="23">
        <v>6263</v>
      </c>
      <c r="M15" s="23">
        <v>5952</v>
      </c>
      <c r="N15" s="23">
        <v>300</v>
      </c>
      <c r="O15" s="23">
        <v>1500</v>
      </c>
      <c r="P15" s="23"/>
      <c r="Q15" s="23">
        <v>1000</v>
      </c>
      <c r="R15" s="23">
        <v>3549</v>
      </c>
      <c r="S15" s="23">
        <v>1000</v>
      </c>
      <c r="T15" s="23"/>
      <c r="U15" s="23"/>
      <c r="V15" s="23">
        <f>1000+3750</f>
        <v>4750</v>
      </c>
      <c r="W15" s="23">
        <v>15064</v>
      </c>
      <c r="Y15" s="23"/>
      <c r="Z15" s="23">
        <v>14385</v>
      </c>
      <c r="AA15" s="23">
        <v>2000</v>
      </c>
      <c r="AB15" s="23">
        <v>2200</v>
      </c>
      <c r="AC15" s="23"/>
      <c r="AD15" s="23"/>
      <c r="AE15" s="23"/>
      <c r="AF15" s="23"/>
      <c r="AG15" s="23"/>
    </row>
    <row r="16" spans="1:33">
      <c r="A16" s="16" t="s">
        <v>16</v>
      </c>
      <c r="B16" s="23">
        <f t="shared" si="7"/>
        <v>70005</v>
      </c>
      <c r="C16" s="23"/>
      <c r="D16" s="23"/>
      <c r="E16" s="23"/>
      <c r="F16" s="23">
        <v>2250</v>
      </c>
      <c r="G16" s="23"/>
      <c r="H16" s="23"/>
      <c r="I16" s="23"/>
      <c r="J16" s="23"/>
      <c r="K16" s="23"/>
      <c r="L16" s="23"/>
      <c r="M16" s="23"/>
      <c r="N16" s="23">
        <f>17500+750</f>
        <v>18250</v>
      </c>
      <c r="O16" s="23"/>
      <c r="P16" s="23">
        <v>4500</v>
      </c>
      <c r="Q16" s="23">
        <v>2250</v>
      </c>
      <c r="R16" s="23">
        <v>3000</v>
      </c>
      <c r="S16" s="23">
        <f>4473+4500</f>
        <v>8973</v>
      </c>
      <c r="T16" s="23"/>
      <c r="U16" s="23">
        <f>5702+4500</f>
        <v>10202</v>
      </c>
      <c r="V16" s="23"/>
      <c r="W16" s="23"/>
      <c r="X16" s="23">
        <v>1500</v>
      </c>
      <c r="Y16" s="23">
        <v>3000</v>
      </c>
      <c r="Z16" s="23">
        <v>6750</v>
      </c>
      <c r="AA16" s="23"/>
      <c r="AB16" s="23"/>
      <c r="AC16" s="23"/>
      <c r="AD16" s="23">
        <v>9330</v>
      </c>
      <c r="AE16" s="23"/>
      <c r="AF16" s="23"/>
      <c r="AG16" s="23"/>
    </row>
    <row r="17" spans="1:33">
      <c r="A17" s="16" t="s">
        <v>17</v>
      </c>
      <c r="B17" s="23">
        <f t="shared" si="7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2250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>
        <v>2250</v>
      </c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204680</v>
      </c>
      <c r="C24" s="19">
        <f>SUM(C15:C23)</f>
        <v>11861</v>
      </c>
      <c r="D24" s="19">
        <f t="shared" ref="D24:U24" si="8">SUM(D15:D23)</f>
        <v>3930</v>
      </c>
      <c r="E24" s="19">
        <f t="shared" si="8"/>
        <v>11561</v>
      </c>
      <c r="F24" s="19">
        <f t="shared" si="8"/>
        <v>9577</v>
      </c>
      <c r="G24" s="19">
        <f t="shared" si="8"/>
        <v>28503</v>
      </c>
      <c r="H24" s="19">
        <f t="shared" si="8"/>
        <v>5290</v>
      </c>
      <c r="I24" s="19">
        <f t="shared" si="8"/>
        <v>0</v>
      </c>
      <c r="J24" s="19">
        <f t="shared" si="8"/>
        <v>5990</v>
      </c>
      <c r="K24" s="19">
        <f t="shared" si="8"/>
        <v>0</v>
      </c>
      <c r="L24" s="19">
        <f t="shared" si="8"/>
        <v>6263</v>
      </c>
      <c r="M24" s="19">
        <f t="shared" si="8"/>
        <v>5952</v>
      </c>
      <c r="N24" s="19">
        <f t="shared" si="8"/>
        <v>18550</v>
      </c>
      <c r="O24" s="19">
        <f t="shared" si="8"/>
        <v>1500</v>
      </c>
      <c r="P24" s="19">
        <f t="shared" si="8"/>
        <v>4500</v>
      </c>
      <c r="Q24" s="19">
        <f t="shared" si="8"/>
        <v>3250</v>
      </c>
      <c r="R24" s="19">
        <f t="shared" si="8"/>
        <v>6549</v>
      </c>
      <c r="S24" s="19">
        <f t="shared" si="8"/>
        <v>9973</v>
      </c>
      <c r="T24" s="19">
        <f t="shared" si="8"/>
        <v>0</v>
      </c>
      <c r="U24" s="19">
        <f t="shared" si="8"/>
        <v>10202</v>
      </c>
      <c r="V24" s="19">
        <f>SUM(V15:V23)</f>
        <v>4750</v>
      </c>
      <c r="W24" s="19">
        <f>SUM(W15:W23)</f>
        <v>15064</v>
      </c>
      <c r="X24" s="19">
        <f>SUM(X16:X23)</f>
        <v>1500</v>
      </c>
      <c r="Y24" s="19">
        <f t="shared" ref="Y24:AG24" si="9">SUM(Y15:Y23)</f>
        <v>3000</v>
      </c>
      <c r="Z24" s="19">
        <f t="shared" si="9"/>
        <v>21135</v>
      </c>
      <c r="AA24" s="19">
        <f t="shared" si="9"/>
        <v>2000</v>
      </c>
      <c r="AB24" s="19">
        <f t="shared" si="9"/>
        <v>2200</v>
      </c>
      <c r="AC24" s="19">
        <f>SUM(AC15:AC23)</f>
        <v>2250</v>
      </c>
      <c r="AD24" s="19">
        <f>SUM(AD15:AD23)</f>
        <v>9330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28978.670000000013</v>
      </c>
      <c r="C25" s="20">
        <f>C10+C14-C24</f>
        <v>-254703.66</v>
      </c>
      <c r="D25" s="20">
        <f t="shared" ref="D25:AG25" si="10">D10+D14-D24</f>
        <v>-252610.44</v>
      </c>
      <c r="E25" s="20">
        <f t="shared" si="10"/>
        <v>-257417.04</v>
      </c>
      <c r="F25" s="20">
        <f t="shared" si="10"/>
        <v>-260023.82</v>
      </c>
      <c r="G25" s="20">
        <f t="shared" si="10"/>
        <v>-275980.59999999998</v>
      </c>
      <c r="H25" s="20">
        <f t="shared" si="10"/>
        <v>-276637.38</v>
      </c>
      <c r="I25" s="20">
        <f t="shared" si="10"/>
        <v>-272294.16000000003</v>
      </c>
      <c r="J25" s="20">
        <f t="shared" si="10"/>
        <v>-272917.02</v>
      </c>
      <c r="K25" s="20">
        <f t="shared" si="10"/>
        <v>-268573.80000000005</v>
      </c>
      <c r="L25" s="20">
        <f t="shared" si="10"/>
        <v>-269230.58000000007</v>
      </c>
      <c r="M25" s="20">
        <f t="shared" si="10"/>
        <v>-242901.65000000008</v>
      </c>
      <c r="N25" s="20">
        <f t="shared" si="10"/>
        <v>-253758.03000000009</v>
      </c>
      <c r="O25" s="20">
        <f t="shared" si="10"/>
        <v>-246664.81000000008</v>
      </c>
      <c r="P25" s="20">
        <f t="shared" si="10"/>
        <v>-243321.59000000008</v>
      </c>
      <c r="Q25" s="20">
        <f t="shared" si="10"/>
        <v>-238928.37000000008</v>
      </c>
      <c r="R25" s="20">
        <f t="shared" si="10"/>
        <v>-238385.15000000008</v>
      </c>
      <c r="S25" s="20">
        <f t="shared" si="10"/>
        <v>-238791.93000000008</v>
      </c>
      <c r="T25" s="20">
        <f t="shared" si="10"/>
        <v>-230698.21000000008</v>
      </c>
      <c r="U25" s="20">
        <f t="shared" si="10"/>
        <v>-234854.99000000008</v>
      </c>
      <c r="V25" s="20">
        <f t="shared" si="10"/>
        <v>-235011.77000000008</v>
      </c>
      <c r="W25" s="20">
        <f t="shared" si="10"/>
        <v>-240420.75000000009</v>
      </c>
      <c r="X25" s="20">
        <f t="shared" si="10"/>
        <v>-234077.53000000009</v>
      </c>
      <c r="Y25" s="20">
        <f t="shared" si="10"/>
        <v>-226734.31000000008</v>
      </c>
      <c r="Z25" s="20">
        <f t="shared" si="10"/>
        <v>-238141.09000000008</v>
      </c>
      <c r="AA25" s="20">
        <f t="shared" si="10"/>
        <v>-232297.87000000008</v>
      </c>
      <c r="AB25" s="20">
        <f t="shared" si="10"/>
        <v>-227454.65000000008</v>
      </c>
      <c r="AC25" s="20">
        <f t="shared" si="10"/>
        <v>-226111.43000000008</v>
      </c>
      <c r="AD25" s="20">
        <f t="shared" si="10"/>
        <v>-227818.21000000008</v>
      </c>
      <c r="AE25" s="20">
        <f t="shared" si="10"/>
        <v>-227818.21000000008</v>
      </c>
      <c r="AF25" s="20">
        <f t="shared" si="10"/>
        <v>-227818.21000000008</v>
      </c>
      <c r="AG25" s="20">
        <f t="shared" si="10"/>
        <v>-227818.21000000008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42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4060</v>
      </c>
      <c r="C3" s="27">
        <v>145</v>
      </c>
      <c r="D3" s="27">
        <v>145</v>
      </c>
      <c r="E3" s="27">
        <v>145</v>
      </c>
      <c r="F3" s="27">
        <v>145</v>
      </c>
      <c r="G3" s="27">
        <v>145</v>
      </c>
      <c r="H3" s="27">
        <v>145</v>
      </c>
      <c r="I3" s="27">
        <v>145</v>
      </c>
      <c r="J3" s="27">
        <v>145</v>
      </c>
      <c r="K3" s="27">
        <v>145</v>
      </c>
      <c r="L3" s="27">
        <v>145</v>
      </c>
      <c r="M3" s="27">
        <v>145</v>
      </c>
      <c r="N3" s="27">
        <v>145</v>
      </c>
      <c r="O3" s="27">
        <v>145</v>
      </c>
      <c r="P3" s="27">
        <v>145</v>
      </c>
      <c r="Q3" s="27">
        <v>145</v>
      </c>
      <c r="R3" s="27">
        <v>145</v>
      </c>
      <c r="S3" s="27">
        <v>145</v>
      </c>
      <c r="T3" s="27">
        <v>145</v>
      </c>
      <c r="U3" s="27">
        <v>145</v>
      </c>
      <c r="V3" s="27">
        <v>145</v>
      </c>
      <c r="W3" s="27">
        <v>145</v>
      </c>
      <c r="X3" s="27">
        <v>145</v>
      </c>
      <c r="Y3" s="27">
        <v>145</v>
      </c>
      <c r="Z3" s="27">
        <v>145</v>
      </c>
      <c r="AA3" s="27">
        <v>145</v>
      </c>
      <c r="AB3" s="27">
        <v>145</v>
      </c>
      <c r="AC3" s="27">
        <v>145</v>
      </c>
      <c r="AD3" s="27">
        <v>145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4060</v>
      </c>
      <c r="C5" s="5">
        <f t="shared" ref="C5:AG5" si="1">+C3-C4</f>
        <v>145</v>
      </c>
      <c r="D5" s="5">
        <f t="shared" si="1"/>
        <v>145</v>
      </c>
      <c r="E5" s="5">
        <f t="shared" si="1"/>
        <v>145</v>
      </c>
      <c r="F5" s="5">
        <f t="shared" si="1"/>
        <v>145</v>
      </c>
      <c r="G5" s="5">
        <f t="shared" si="1"/>
        <v>145</v>
      </c>
      <c r="H5" s="5">
        <f t="shared" si="1"/>
        <v>145</v>
      </c>
      <c r="I5" s="5">
        <f t="shared" si="1"/>
        <v>145</v>
      </c>
      <c r="J5" s="5">
        <f t="shared" si="1"/>
        <v>145</v>
      </c>
      <c r="K5" s="5">
        <f t="shared" si="1"/>
        <v>145</v>
      </c>
      <c r="L5" s="5">
        <f t="shared" si="1"/>
        <v>145</v>
      </c>
      <c r="M5" s="5">
        <f t="shared" si="1"/>
        <v>145</v>
      </c>
      <c r="N5" s="5">
        <f t="shared" si="1"/>
        <v>145</v>
      </c>
      <c r="O5" s="5">
        <f t="shared" si="1"/>
        <v>145</v>
      </c>
      <c r="P5" s="5">
        <f t="shared" si="1"/>
        <v>145</v>
      </c>
      <c r="Q5" s="5">
        <f t="shared" si="1"/>
        <v>145</v>
      </c>
      <c r="R5" s="5">
        <f t="shared" si="1"/>
        <v>145</v>
      </c>
      <c r="S5" s="5">
        <f t="shared" si="1"/>
        <v>145</v>
      </c>
      <c r="T5" s="5">
        <f t="shared" si="1"/>
        <v>145</v>
      </c>
      <c r="U5" s="5">
        <f t="shared" si="1"/>
        <v>145</v>
      </c>
      <c r="V5" s="5">
        <f t="shared" si="1"/>
        <v>145</v>
      </c>
      <c r="W5" s="5">
        <f t="shared" si="1"/>
        <v>145</v>
      </c>
      <c r="X5" s="5">
        <f t="shared" si="1"/>
        <v>145</v>
      </c>
      <c r="Y5" s="5">
        <f t="shared" si="1"/>
        <v>145</v>
      </c>
      <c r="Z5" s="5">
        <f t="shared" si="1"/>
        <v>145</v>
      </c>
      <c r="AA5" s="5">
        <f t="shared" si="1"/>
        <v>145</v>
      </c>
      <c r="AB5" s="5">
        <f t="shared" si="1"/>
        <v>145</v>
      </c>
      <c r="AC5" s="5">
        <f t="shared" si="1"/>
        <v>145</v>
      </c>
      <c r="AD5" s="5">
        <f t="shared" si="1"/>
        <v>145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3742</v>
      </c>
      <c r="C6" s="34">
        <v>145</v>
      </c>
      <c r="D6" s="34">
        <v>122</v>
      </c>
      <c r="E6" s="34">
        <v>122</v>
      </c>
      <c r="F6" s="34">
        <v>130</v>
      </c>
      <c r="G6" s="34">
        <v>123</v>
      </c>
      <c r="H6" s="34">
        <v>104</v>
      </c>
      <c r="I6" s="34">
        <v>107</v>
      </c>
      <c r="J6" s="34">
        <v>132</v>
      </c>
      <c r="K6" s="34">
        <v>104</v>
      </c>
      <c r="L6" s="34">
        <v>114</v>
      </c>
      <c r="M6" s="34">
        <v>142</v>
      </c>
      <c r="N6" s="34">
        <v>145</v>
      </c>
      <c r="O6" s="34">
        <v>145</v>
      </c>
      <c r="P6" s="34">
        <v>143</v>
      </c>
      <c r="Q6" s="34">
        <v>143</v>
      </c>
      <c r="R6" s="34">
        <v>143</v>
      </c>
      <c r="S6" s="34">
        <v>141</v>
      </c>
      <c r="T6" s="34">
        <v>142</v>
      </c>
      <c r="U6" s="34">
        <v>144</v>
      </c>
      <c r="V6" s="34">
        <v>141</v>
      </c>
      <c r="W6" s="34">
        <v>144</v>
      </c>
      <c r="X6" s="34">
        <v>145</v>
      </c>
      <c r="Y6" s="34">
        <v>141</v>
      </c>
      <c r="Z6" s="34">
        <v>141</v>
      </c>
      <c r="AA6" s="34">
        <v>145</v>
      </c>
      <c r="AB6" s="34">
        <v>134</v>
      </c>
      <c r="AC6" s="34">
        <v>141</v>
      </c>
      <c r="AD6" s="34">
        <v>119</v>
      </c>
      <c r="AE6" s="34"/>
      <c r="AF6" s="34"/>
      <c r="AG6" s="34"/>
    </row>
    <row r="7" spans="1:33">
      <c r="A7" s="4" t="s">
        <v>4</v>
      </c>
      <c r="B7" s="7">
        <f>IF(B6=0,0,B6/B5)</f>
        <v>0.92167487684729066</v>
      </c>
      <c r="C7" s="7">
        <f t="shared" ref="C7:AG7" si="2">IF(C6=0,0,C6/C5)</f>
        <v>1</v>
      </c>
      <c r="D7" s="7">
        <f t="shared" si="2"/>
        <v>0.8413793103448276</v>
      </c>
      <c r="E7" s="7">
        <f t="shared" si="2"/>
        <v>0.8413793103448276</v>
      </c>
      <c r="F7" s="7">
        <f t="shared" si="2"/>
        <v>0.89655172413793105</v>
      </c>
      <c r="G7" s="7">
        <f t="shared" si="2"/>
        <v>0.84827586206896555</v>
      </c>
      <c r="H7" s="7">
        <f t="shared" si="2"/>
        <v>0.71724137931034482</v>
      </c>
      <c r="I7" s="7">
        <f t="shared" si="2"/>
        <v>0.73793103448275865</v>
      </c>
      <c r="J7" s="7">
        <f t="shared" si="2"/>
        <v>0.91034482758620694</v>
      </c>
      <c r="K7" s="7">
        <f t="shared" si="2"/>
        <v>0.71724137931034482</v>
      </c>
      <c r="L7" s="7">
        <f t="shared" si="2"/>
        <v>0.78620689655172415</v>
      </c>
      <c r="M7" s="7">
        <f t="shared" si="2"/>
        <v>0.97931034482758617</v>
      </c>
      <c r="N7" s="7">
        <f t="shared" si="2"/>
        <v>1</v>
      </c>
      <c r="O7" s="7">
        <f t="shared" si="2"/>
        <v>1</v>
      </c>
      <c r="P7" s="7">
        <f t="shared" si="2"/>
        <v>0.98620689655172411</v>
      </c>
      <c r="Q7" s="7">
        <f t="shared" si="2"/>
        <v>0.98620689655172411</v>
      </c>
      <c r="R7" s="7">
        <f t="shared" si="2"/>
        <v>0.98620689655172411</v>
      </c>
      <c r="S7" s="7">
        <f t="shared" si="2"/>
        <v>0.97241379310344822</v>
      </c>
      <c r="T7" s="7">
        <f t="shared" si="2"/>
        <v>0.97931034482758617</v>
      </c>
      <c r="U7" s="7">
        <f t="shared" si="2"/>
        <v>0.99310344827586206</v>
      </c>
      <c r="V7" s="7">
        <f t="shared" si="2"/>
        <v>0.97241379310344822</v>
      </c>
      <c r="W7" s="7">
        <f t="shared" si="2"/>
        <v>0.99310344827586206</v>
      </c>
      <c r="X7" s="7">
        <f t="shared" si="2"/>
        <v>1</v>
      </c>
      <c r="Y7" s="7">
        <f t="shared" si="2"/>
        <v>0.97241379310344822</v>
      </c>
      <c r="Z7" s="7">
        <f t="shared" si="2"/>
        <v>0.97241379310344822</v>
      </c>
      <c r="AA7" s="7">
        <f t="shared" si="2"/>
        <v>1</v>
      </c>
      <c r="AB7" s="7">
        <f t="shared" si="2"/>
        <v>0.92413793103448272</v>
      </c>
      <c r="AC7" s="7">
        <f t="shared" si="2"/>
        <v>0.97241379310344822</v>
      </c>
      <c r="AD7" s="7">
        <f t="shared" si="2"/>
        <v>0.82068965517241377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647.32629609834316</v>
      </c>
      <c r="C8" s="6">
        <f t="shared" ref="C8:AG8" si="3">IF(C6=0,0,C11/C6)</f>
        <v>555.28731034482757</v>
      </c>
      <c r="D8" s="6">
        <f t="shared" si="3"/>
        <v>501.90352459016395</v>
      </c>
      <c r="E8" s="6">
        <f t="shared" si="3"/>
        <v>487.94909836065574</v>
      </c>
      <c r="F8" s="6">
        <f t="shared" si="3"/>
        <v>493.21315384615383</v>
      </c>
      <c r="G8" s="6">
        <f t="shared" si="3"/>
        <v>474.3119512195122</v>
      </c>
      <c r="H8" s="6">
        <f t="shared" si="3"/>
        <v>458.52105769230769</v>
      </c>
      <c r="I8" s="6">
        <f t="shared" si="3"/>
        <v>461.863738317757</v>
      </c>
      <c r="J8" s="6">
        <f t="shared" si="3"/>
        <v>488.7656818181818</v>
      </c>
      <c r="K8" s="6">
        <f t="shared" si="3"/>
        <v>490.38134615384621</v>
      </c>
      <c r="L8" s="6">
        <f t="shared" si="3"/>
        <v>515.63228070175444</v>
      </c>
      <c r="M8" s="6">
        <f t="shared" si="3"/>
        <v>526.38281690140843</v>
      </c>
      <c r="N8" s="6">
        <f t="shared" si="3"/>
        <v>475.59027586206895</v>
      </c>
      <c r="O8" s="6">
        <f t="shared" si="3"/>
        <v>489.82862068965511</v>
      </c>
      <c r="P8" s="6">
        <f t="shared" si="3"/>
        <v>508.68027972027971</v>
      </c>
      <c r="Q8" s="6">
        <f t="shared" si="3"/>
        <v>483.78643356643363</v>
      </c>
      <c r="R8" s="6">
        <f t="shared" si="3"/>
        <v>456.39720279720279</v>
      </c>
      <c r="S8" s="6">
        <f t="shared" si="3"/>
        <v>4589.7343971631208</v>
      </c>
      <c r="T8" s="6">
        <f t="shared" si="3"/>
        <v>484.14204225352114</v>
      </c>
      <c r="U8" s="6">
        <f t="shared" si="3"/>
        <v>500.66423611111105</v>
      </c>
      <c r="V8" s="6">
        <f t="shared" si="3"/>
        <v>492.99886524822693</v>
      </c>
      <c r="W8" s="6">
        <f t="shared" si="3"/>
        <v>470.92819444444444</v>
      </c>
      <c r="X8" s="6">
        <f>IF(X6=0,0,X11/X6)</f>
        <v>502.54337931034479</v>
      </c>
      <c r="Y8" s="6">
        <f t="shared" si="3"/>
        <v>464.43702127659577</v>
      </c>
      <c r="Z8" s="6">
        <f t="shared" si="3"/>
        <v>503.7236170212766</v>
      </c>
      <c r="AA8" s="6">
        <f t="shared" si="3"/>
        <v>552.6403448275862</v>
      </c>
      <c r="AB8" s="6">
        <f t="shared" si="3"/>
        <v>497.51179104477615</v>
      </c>
      <c r="AC8" s="6">
        <f t="shared" si="3"/>
        <v>493.29992907801415</v>
      </c>
      <c r="AD8" s="6">
        <f t="shared" si="3"/>
        <v>455.2701680672269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596.62438423645324</v>
      </c>
      <c r="C9" s="6">
        <f t="shared" ref="C9:AG9" si="4">IF(C11=0,0,C11/C3)</f>
        <v>555.28731034482757</v>
      </c>
      <c r="D9" s="6">
        <f t="shared" si="4"/>
        <v>422.29124137931035</v>
      </c>
      <c r="E9" s="6">
        <f t="shared" si="4"/>
        <v>410.55027586206899</v>
      </c>
      <c r="F9" s="6">
        <f t="shared" si="4"/>
        <v>442.19110344827584</v>
      </c>
      <c r="G9" s="6">
        <f t="shared" si="4"/>
        <v>402.34737931034482</v>
      </c>
      <c r="H9" s="6">
        <f t="shared" si="4"/>
        <v>328.87027586206898</v>
      </c>
      <c r="I9" s="6">
        <f t="shared" si="4"/>
        <v>340.82358620689655</v>
      </c>
      <c r="J9" s="6">
        <f t="shared" si="4"/>
        <v>444.94531034482759</v>
      </c>
      <c r="K9" s="6">
        <f t="shared" si="4"/>
        <v>351.72179310344831</v>
      </c>
      <c r="L9" s="6">
        <f t="shared" si="4"/>
        <v>405.39365517241379</v>
      </c>
      <c r="M9" s="6">
        <f t="shared" si="4"/>
        <v>515.49213793103445</v>
      </c>
      <c r="N9" s="6">
        <f t="shared" si="4"/>
        <v>475.59027586206895</v>
      </c>
      <c r="O9" s="6">
        <f t="shared" si="4"/>
        <v>489.82862068965511</v>
      </c>
      <c r="P9" s="6">
        <f t="shared" si="4"/>
        <v>501.66399999999999</v>
      </c>
      <c r="Q9" s="6">
        <f t="shared" si="4"/>
        <v>477.11351724137933</v>
      </c>
      <c r="R9" s="6">
        <f t="shared" si="4"/>
        <v>450.10206896551728</v>
      </c>
      <c r="S9" s="6">
        <f t="shared" si="4"/>
        <v>4463.1210344827587</v>
      </c>
      <c r="T9" s="6">
        <f t="shared" si="4"/>
        <v>474.1253103448276</v>
      </c>
      <c r="U9" s="6">
        <f t="shared" si="4"/>
        <v>497.2113793103448</v>
      </c>
      <c r="V9" s="6">
        <f t="shared" si="4"/>
        <v>479.39889655172414</v>
      </c>
      <c r="W9" s="6">
        <f t="shared" si="4"/>
        <v>467.68041379310347</v>
      </c>
      <c r="X9" s="6">
        <f>IF(X11=0,0,X11/X3)</f>
        <v>502.54337931034479</v>
      </c>
      <c r="Y9" s="6">
        <f t="shared" si="4"/>
        <v>451.62496551724138</v>
      </c>
      <c r="Z9" s="6">
        <f t="shared" si="4"/>
        <v>489.82779310344824</v>
      </c>
      <c r="AA9" s="6">
        <f t="shared" si="4"/>
        <v>552.6403448275862</v>
      </c>
      <c r="AB9" s="6">
        <f t="shared" si="4"/>
        <v>459.76951724137933</v>
      </c>
      <c r="AC9" s="6">
        <f t="shared" si="4"/>
        <v>479.69165517241373</v>
      </c>
      <c r="AD9" s="6">
        <f t="shared" si="4"/>
        <v>373.63551724137932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/>
      <c r="D10" s="29">
        <v>127237.08</v>
      </c>
      <c r="E10" s="29">
        <f t="shared" ref="E10:AG10" si="5">D25</f>
        <v>93323.739999999991</v>
      </c>
      <c r="F10" s="29">
        <f t="shared" si="5"/>
        <v>118770.4</v>
      </c>
      <c r="G10" s="29">
        <f t="shared" si="5"/>
        <v>89587.06</v>
      </c>
      <c r="H10" s="29">
        <f t="shared" si="5"/>
        <v>135053.72</v>
      </c>
      <c r="I10" s="29">
        <f t="shared" si="5"/>
        <v>69720.479999999981</v>
      </c>
      <c r="J10" s="29">
        <f t="shared" si="5"/>
        <v>70737.139999999985</v>
      </c>
      <c r="K10" s="29">
        <f t="shared" si="5"/>
        <v>112253.79999999999</v>
      </c>
      <c r="L10" s="29">
        <f t="shared" si="5"/>
        <v>90570.459999999992</v>
      </c>
      <c r="M10" s="29">
        <f t="shared" si="5"/>
        <v>26187.119999999995</v>
      </c>
      <c r="N10" s="29">
        <f t="shared" si="5"/>
        <v>76803.78</v>
      </c>
      <c r="O10" s="29">
        <f t="shared" si="5"/>
        <v>98220.44</v>
      </c>
      <c r="P10" s="29">
        <f t="shared" si="5"/>
        <v>160867.1</v>
      </c>
      <c r="Q10" s="29">
        <f t="shared" si="5"/>
        <v>111503.85999999999</v>
      </c>
      <c r="R10" s="29">
        <f t="shared" si="5"/>
        <v>125570.51999999999</v>
      </c>
      <c r="S10" s="29">
        <f t="shared" si="5"/>
        <v>146887.18</v>
      </c>
      <c r="T10" s="29">
        <f t="shared" si="5"/>
        <v>133653.84000000003</v>
      </c>
      <c r="U10" s="29">
        <f t="shared" si="5"/>
        <v>93270.500000000029</v>
      </c>
      <c r="V10" s="29">
        <f t="shared" si="5"/>
        <v>127487.16000000003</v>
      </c>
      <c r="W10" s="29">
        <f t="shared" si="5"/>
        <v>106253.82000000004</v>
      </c>
      <c r="X10" s="29">
        <f t="shared" si="5"/>
        <v>149470.48000000004</v>
      </c>
      <c r="Y10" s="29">
        <f t="shared" si="5"/>
        <v>180637.14</v>
      </c>
      <c r="Z10" s="29">
        <f t="shared" si="5"/>
        <v>176953.90000000002</v>
      </c>
      <c r="AA10" s="29">
        <f t="shared" si="5"/>
        <v>101570.56000000006</v>
      </c>
      <c r="AB10" s="29">
        <f t="shared" si="5"/>
        <v>97587.220000000059</v>
      </c>
      <c r="AC10" s="29">
        <f t="shared" si="5"/>
        <v>110653.88000000006</v>
      </c>
      <c r="AD10" s="29">
        <f t="shared" si="5"/>
        <v>130470.54000000007</v>
      </c>
      <c r="AE10" s="29">
        <f t="shared" si="5"/>
        <v>57037.300000000047</v>
      </c>
      <c r="AF10" s="29">
        <f t="shared" si="5"/>
        <v>57037.300000000047</v>
      </c>
      <c r="AG10" s="29">
        <f t="shared" si="5"/>
        <v>57037.300000000047</v>
      </c>
    </row>
    <row r="11" spans="1:33">
      <c r="A11" s="4" t="s">
        <v>8</v>
      </c>
      <c r="B11" s="23">
        <f>SUM(C11:AG11)</f>
        <v>2422295</v>
      </c>
      <c r="C11" s="23">
        <v>80516.66</v>
      </c>
      <c r="D11" s="23">
        <f>61832.23-600</f>
        <v>61232.23</v>
      </c>
      <c r="E11" s="23">
        <v>59529.79</v>
      </c>
      <c r="F11" s="23">
        <v>64117.71</v>
      </c>
      <c r="G11" s="23">
        <v>58340.37</v>
      </c>
      <c r="H11" s="23">
        <v>47686.19</v>
      </c>
      <c r="I11" s="23">
        <v>49419.42</v>
      </c>
      <c r="J11" s="23">
        <v>64517.07</v>
      </c>
      <c r="K11" s="23">
        <v>50999.66</v>
      </c>
      <c r="L11" s="23">
        <v>58782.080000000002</v>
      </c>
      <c r="M11" s="23">
        <v>74746.36</v>
      </c>
      <c r="N11" s="23">
        <v>68960.59</v>
      </c>
      <c r="O11" s="23">
        <v>71025.149999999994</v>
      </c>
      <c r="P11" s="23">
        <v>72741.279999999999</v>
      </c>
      <c r="Q11" s="23">
        <v>69181.460000000006</v>
      </c>
      <c r="R11" s="23">
        <v>65264.800000000003</v>
      </c>
      <c r="S11" s="23">
        <v>647152.55000000005</v>
      </c>
      <c r="T11" s="23">
        <v>68748.17</v>
      </c>
      <c r="U11" s="23">
        <v>72095.649999999994</v>
      </c>
      <c r="V11" s="23">
        <v>69512.84</v>
      </c>
      <c r="W11" s="23">
        <v>67813.66</v>
      </c>
      <c r="X11" s="23">
        <v>72868.789999999994</v>
      </c>
      <c r="Y11" s="23">
        <v>65485.62</v>
      </c>
      <c r="Z11" s="23">
        <v>71025.03</v>
      </c>
      <c r="AA11" s="23">
        <v>80132.850000000006</v>
      </c>
      <c r="AB11" s="23">
        <v>66666.58</v>
      </c>
      <c r="AC11" s="23">
        <v>69555.289999999994</v>
      </c>
      <c r="AD11" s="23">
        <v>54177.15</v>
      </c>
      <c r="AE11" s="23"/>
      <c r="AF11" s="23"/>
      <c r="AG11" s="23"/>
    </row>
    <row r="12" spans="1:33">
      <c r="A12" s="4" t="s">
        <v>9</v>
      </c>
      <c r="B12" s="23">
        <f>SUM(C12:AG12)</f>
        <v>733912</v>
      </c>
      <c r="C12" s="23">
        <v>27500</v>
      </c>
      <c r="D12" s="23">
        <f>22500+723</f>
        <v>23223</v>
      </c>
      <c r="E12" s="23">
        <f>22700+234</f>
        <v>22934</v>
      </c>
      <c r="F12" s="23">
        <f>24600+302</f>
        <v>24902</v>
      </c>
      <c r="G12" s="23">
        <f>23100+937</f>
        <v>24037</v>
      </c>
      <c r="H12" s="23">
        <f>19400+205</f>
        <v>19605</v>
      </c>
      <c r="I12" s="23">
        <f>20100+386</f>
        <v>20486</v>
      </c>
      <c r="J12" s="23">
        <f>25100+760</f>
        <v>25860</v>
      </c>
      <c r="K12" s="23">
        <f>19500+1829</f>
        <v>21329</v>
      </c>
      <c r="L12" s="23">
        <f>21400+462</f>
        <v>21862</v>
      </c>
      <c r="M12" s="23">
        <f>26900+1120</f>
        <v>28020</v>
      </c>
      <c r="N12" s="23">
        <f>27600+1456</f>
        <v>29056</v>
      </c>
      <c r="O12" s="23">
        <f>27950+1112</f>
        <v>29062</v>
      </c>
      <c r="P12" s="23">
        <f>27350+817</f>
        <v>28167</v>
      </c>
      <c r="Q12" s="23">
        <f>27350+1372</f>
        <v>28722</v>
      </c>
      <c r="R12" s="23">
        <f>27200+1354</f>
        <v>28554</v>
      </c>
      <c r="S12" s="23">
        <f>26950+413</f>
        <v>27363</v>
      </c>
      <c r="T12" s="23">
        <f>27450+323</f>
        <v>27773</v>
      </c>
      <c r="U12" s="23">
        <f>27900+1111</f>
        <v>29011</v>
      </c>
      <c r="V12" s="23">
        <f>27200+319</f>
        <v>27519</v>
      </c>
      <c r="W12" s="23">
        <f>27200+455</f>
        <v>27655</v>
      </c>
      <c r="X12" s="23">
        <f>28050+459</f>
        <v>28509</v>
      </c>
      <c r="Y12" s="23">
        <f>27000+1127</f>
        <v>28127</v>
      </c>
      <c r="Z12" s="23">
        <f>27300+2316</f>
        <v>29616</v>
      </c>
      <c r="AA12" s="23">
        <f>27900+2020</f>
        <v>29920</v>
      </c>
      <c r="AB12" s="23">
        <v>25700</v>
      </c>
      <c r="AC12" s="23">
        <v>27100</v>
      </c>
      <c r="AD12" s="23">
        <v>22300</v>
      </c>
      <c r="AE12" s="23"/>
      <c r="AF12" s="23"/>
      <c r="AG12" s="23"/>
    </row>
    <row r="13" spans="1:33">
      <c r="A13" s="8" t="s">
        <v>10</v>
      </c>
      <c r="B13" s="23">
        <f>SUM(C13:AG13)</f>
        <v>-181017.12</v>
      </c>
      <c r="C13" s="24">
        <f>110696.66-C11-C12</f>
        <v>2680</v>
      </c>
      <c r="D13" s="24">
        <f>96149.66-D11-D12</f>
        <v>11694.43</v>
      </c>
      <c r="E13" s="24">
        <f>93350.66-E12-E11</f>
        <v>10886.870000000003</v>
      </c>
      <c r="F13" s="24">
        <f>102918.66-F12-F11</f>
        <v>13898.950000000004</v>
      </c>
      <c r="G13" s="24">
        <f>92943.66-G12-G11</f>
        <v>10566.29</v>
      </c>
      <c r="H13" s="24">
        <f>82388.76-H12-H11</f>
        <v>15097.569999999992</v>
      </c>
      <c r="I13" s="24">
        <f>78652.66-I12-I11</f>
        <v>8747.2400000000052</v>
      </c>
      <c r="J13" s="24">
        <f>101796.66-J12-J11</f>
        <v>11419.590000000004</v>
      </c>
      <c r="K13" s="23">
        <f>80965.66-K12-K11</f>
        <v>8637</v>
      </c>
      <c r="L13" s="23">
        <f>92548.66-L12-L11</f>
        <v>11904.580000000002</v>
      </c>
      <c r="M13" s="23">
        <f>115996.66-M12-M11</f>
        <v>13230.300000000003</v>
      </c>
      <c r="N13" s="23">
        <f>110732.66-N12-N11</f>
        <v>12716.070000000007</v>
      </c>
      <c r="O13" s="23">
        <f>115188.66-O12-O11</f>
        <v>15101.510000000009</v>
      </c>
      <c r="P13" s="23">
        <f>117929.76-P12-P11</f>
        <v>17021.479999999996</v>
      </c>
      <c r="Q13" s="23">
        <f>114058.66-Q12-Q11</f>
        <v>16155.199999999997</v>
      </c>
      <c r="R13" s="23">
        <f>109360.66-R12-R11</f>
        <v>15541.86</v>
      </c>
      <c r="S13" s="23">
        <f>109962.66-S12-S11</f>
        <v>-564552.89</v>
      </c>
      <c r="T13" s="23">
        <f>117772.66-T12-T11</f>
        <v>21251.490000000005</v>
      </c>
      <c r="U13" s="23">
        <f>121327.66-U12-U11</f>
        <v>20221.010000000009</v>
      </c>
      <c r="V13" s="23">
        <f>112585.66-V12-V11</f>
        <v>15553.820000000007</v>
      </c>
      <c r="W13" s="23">
        <f>107391.66-W12-W11</f>
        <v>11923</v>
      </c>
      <c r="X13" s="23">
        <f>116619.66-X12-X11</f>
        <v>15241.87000000001</v>
      </c>
      <c r="Y13" s="23">
        <f>108263.76-Y12-Y11</f>
        <v>14651.139999999992</v>
      </c>
      <c r="Z13" s="23">
        <f>121962.66-Z12-Z11</f>
        <v>21321.630000000005</v>
      </c>
      <c r="AA13" s="23">
        <f>134136.66-AA12-AA11</f>
        <v>24083.809999999998</v>
      </c>
      <c r="AB13" s="23">
        <f>105405.66-AB11-AB12</f>
        <v>13039.080000000002</v>
      </c>
      <c r="AC13" s="23">
        <f>115364.66-AC11-AC12</f>
        <v>18709.37000000001</v>
      </c>
      <c r="AD13" s="23">
        <f>88717.76-AD11-AD12</f>
        <v>12240.609999999993</v>
      </c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2975189.88</v>
      </c>
      <c r="C14" s="18">
        <f>SUM(C11:C13)</f>
        <v>110696.66</v>
      </c>
      <c r="D14" s="18">
        <f t="shared" ref="D14:AG14" si="6">SUM(D11:D13)</f>
        <v>96149.66</v>
      </c>
      <c r="E14" s="18">
        <f t="shared" si="6"/>
        <v>93350.66</v>
      </c>
      <c r="F14" s="18">
        <f t="shared" si="6"/>
        <v>102918.66</v>
      </c>
      <c r="G14" s="18">
        <f t="shared" si="6"/>
        <v>92943.66</v>
      </c>
      <c r="H14" s="18">
        <f t="shared" si="6"/>
        <v>82388.759999999995</v>
      </c>
      <c r="I14" s="18">
        <f t="shared" si="6"/>
        <v>78652.66</v>
      </c>
      <c r="J14" s="18">
        <f t="shared" si="6"/>
        <v>101796.66</v>
      </c>
      <c r="K14" s="18">
        <f t="shared" si="6"/>
        <v>80965.66</v>
      </c>
      <c r="L14" s="18">
        <f t="shared" si="6"/>
        <v>92548.66</v>
      </c>
      <c r="M14" s="18">
        <f t="shared" si="6"/>
        <v>115996.66</v>
      </c>
      <c r="N14" s="18">
        <f t="shared" si="6"/>
        <v>110732.66</v>
      </c>
      <c r="O14" s="18">
        <f t="shared" si="6"/>
        <v>115188.66</v>
      </c>
      <c r="P14" s="18">
        <f t="shared" si="6"/>
        <v>117929.76</v>
      </c>
      <c r="Q14" s="18">
        <f t="shared" si="6"/>
        <v>114058.66</v>
      </c>
      <c r="R14" s="18">
        <f t="shared" si="6"/>
        <v>109360.66</v>
      </c>
      <c r="S14" s="18">
        <f t="shared" si="6"/>
        <v>109962.66000000003</v>
      </c>
      <c r="T14" s="18">
        <f t="shared" si="6"/>
        <v>117772.66</v>
      </c>
      <c r="U14" s="18">
        <f t="shared" si="6"/>
        <v>121327.66</v>
      </c>
      <c r="V14" s="18">
        <f t="shared" si="6"/>
        <v>112585.66</v>
      </c>
      <c r="W14" s="18">
        <f t="shared" si="6"/>
        <v>107391.66</v>
      </c>
      <c r="X14" s="18">
        <f t="shared" si="6"/>
        <v>116619.66</v>
      </c>
      <c r="Y14" s="18">
        <f t="shared" si="6"/>
        <v>108263.75999999998</v>
      </c>
      <c r="Z14" s="18">
        <f t="shared" si="6"/>
        <v>121962.66</v>
      </c>
      <c r="AA14" s="18">
        <f t="shared" si="6"/>
        <v>134136.66</v>
      </c>
      <c r="AB14" s="18">
        <f t="shared" si="6"/>
        <v>105405.66</v>
      </c>
      <c r="AC14" s="18">
        <f t="shared" si="6"/>
        <v>115364.66</v>
      </c>
      <c r="AD14" s="18">
        <f t="shared" si="6"/>
        <v>88717.75999999998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537277</v>
      </c>
      <c r="C15" s="23">
        <v>10180</v>
      </c>
      <c r="D15" s="23">
        <v>8773</v>
      </c>
      <c r="E15" s="23">
        <v>1084</v>
      </c>
      <c r="F15" s="23">
        <v>15502</v>
      </c>
      <c r="G15" s="23">
        <v>1177</v>
      </c>
      <c r="H15" s="23">
        <v>21022</v>
      </c>
      <c r="I15" s="23">
        <v>386</v>
      </c>
      <c r="J15" s="23">
        <v>3280</v>
      </c>
      <c r="K15" s="23">
        <v>5099</v>
      </c>
      <c r="L15" s="23">
        <v>85682</v>
      </c>
      <c r="M15" s="23">
        <v>17380</v>
      </c>
      <c r="N15" s="23">
        <v>3466</v>
      </c>
      <c r="O15" s="23">
        <v>1542</v>
      </c>
      <c r="P15" s="23">
        <v>10263</v>
      </c>
      <c r="Q15" s="23">
        <v>23582</v>
      </c>
      <c r="R15" s="23">
        <v>2594</v>
      </c>
      <c r="S15" s="23">
        <v>10696</v>
      </c>
      <c r="T15" s="23">
        <v>29056</v>
      </c>
      <c r="U15" s="23">
        <v>7611</v>
      </c>
      <c r="V15" s="23">
        <v>32319</v>
      </c>
      <c r="W15" s="23">
        <v>13975</v>
      </c>
      <c r="X15" s="23">
        <v>8953</v>
      </c>
      <c r="Y15" s="23">
        <v>3397</v>
      </c>
      <c r="Z15" s="23">
        <v>31096</v>
      </c>
      <c r="AA15" s="23">
        <v>41920</v>
      </c>
      <c r="AB15" s="23">
        <v>44939</v>
      </c>
      <c r="AC15" s="23">
        <v>50548</v>
      </c>
      <c r="AD15" s="23">
        <v>51755</v>
      </c>
      <c r="AE15" s="23"/>
      <c r="AF15" s="23"/>
      <c r="AG15" s="23"/>
    </row>
    <row r="16" spans="1:33">
      <c r="A16" s="16" t="s">
        <v>16</v>
      </c>
      <c r="B16" s="23">
        <f t="shared" si="7"/>
        <v>91266</v>
      </c>
      <c r="C16" s="23"/>
      <c r="D16" s="23">
        <v>-1260</v>
      </c>
      <c r="E16" s="23">
        <v>2520</v>
      </c>
      <c r="F16" s="23">
        <v>28500</v>
      </c>
      <c r="G16" s="23"/>
      <c r="H16" s="23"/>
      <c r="I16" s="23"/>
      <c r="J16" s="23"/>
      <c r="K16" s="23">
        <v>800</v>
      </c>
      <c r="L16" s="23"/>
      <c r="M16" s="23"/>
      <c r="N16" s="23">
        <v>26600</v>
      </c>
      <c r="O16" s="23"/>
      <c r="P16" s="23"/>
      <c r="Q16" s="23">
        <v>1260</v>
      </c>
      <c r="R16" s="23">
        <v>25450</v>
      </c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>
        <v>7396</v>
      </c>
      <c r="AE16" s="23"/>
      <c r="AF16" s="23"/>
      <c r="AG16" s="23"/>
    </row>
    <row r="17" spans="1:33">
      <c r="A17" s="16" t="s">
        <v>17</v>
      </c>
      <c r="B17" s="23">
        <f t="shared" si="7"/>
        <v>67730</v>
      </c>
      <c r="C17" s="23"/>
      <c r="D17" s="23"/>
      <c r="E17" s="23"/>
      <c r="F17" s="23"/>
      <c r="G17" s="23">
        <v>13300</v>
      </c>
      <c r="H17" s="23">
        <v>22000</v>
      </c>
      <c r="I17" s="23"/>
      <c r="J17" s="23"/>
      <c r="K17" s="23"/>
      <c r="L17" s="23"/>
      <c r="M17" s="23"/>
      <c r="N17" s="23"/>
      <c r="O17" s="23"/>
      <c r="P17" s="23">
        <v>4780</v>
      </c>
      <c r="Q17" s="23"/>
      <c r="R17" s="23"/>
      <c r="S17" s="23"/>
      <c r="T17" s="23">
        <v>2000</v>
      </c>
      <c r="U17" s="23"/>
      <c r="V17" s="23"/>
      <c r="W17" s="23"/>
      <c r="X17" s="23"/>
      <c r="Y17" s="23">
        <v>10450</v>
      </c>
      <c r="Z17" s="23"/>
      <c r="AA17" s="23">
        <v>15200</v>
      </c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2289100</v>
      </c>
      <c r="C21" s="23">
        <v>55500</v>
      </c>
      <c r="D21" s="23">
        <v>122550</v>
      </c>
      <c r="E21" s="23">
        <v>64300</v>
      </c>
      <c r="F21" s="23">
        <v>88100</v>
      </c>
      <c r="G21" s="23">
        <v>33000</v>
      </c>
      <c r="H21" s="23">
        <v>104700</v>
      </c>
      <c r="I21" s="23">
        <v>77250</v>
      </c>
      <c r="J21" s="23">
        <v>57000</v>
      </c>
      <c r="K21" s="23">
        <v>96750</v>
      </c>
      <c r="L21" s="23">
        <v>71250</v>
      </c>
      <c r="M21" s="23">
        <v>48000</v>
      </c>
      <c r="N21" s="23">
        <v>59250</v>
      </c>
      <c r="O21" s="23">
        <v>51000</v>
      </c>
      <c r="P21" s="23">
        <v>137250</v>
      </c>
      <c r="Q21" s="23">
        <v>75150</v>
      </c>
      <c r="R21" s="23">
        <v>60000</v>
      </c>
      <c r="S21" s="23">
        <v>112500</v>
      </c>
      <c r="T21" s="23">
        <v>127100</v>
      </c>
      <c r="U21" s="23">
        <v>79500</v>
      </c>
      <c r="V21" s="23">
        <v>101500</v>
      </c>
      <c r="W21" s="23">
        <v>50200</v>
      </c>
      <c r="X21" s="23">
        <v>76500</v>
      </c>
      <c r="Y21" s="23">
        <v>98100</v>
      </c>
      <c r="Z21" s="23">
        <v>166250</v>
      </c>
      <c r="AA21" s="23">
        <v>81000</v>
      </c>
      <c r="AB21" s="23">
        <v>47400</v>
      </c>
      <c r="AC21" s="23">
        <v>45000</v>
      </c>
      <c r="AD21" s="23">
        <v>103000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15000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>
        <v>15000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3000373</v>
      </c>
      <c r="C24" s="19">
        <f>SUM(C15:C23)</f>
        <v>65680</v>
      </c>
      <c r="D24" s="19">
        <f t="shared" ref="D24:U24" si="8">SUM(D15:D23)</f>
        <v>130063</v>
      </c>
      <c r="E24" s="19">
        <f t="shared" si="8"/>
        <v>67904</v>
      </c>
      <c r="F24" s="19">
        <f t="shared" si="8"/>
        <v>132102</v>
      </c>
      <c r="G24" s="19">
        <f t="shared" si="8"/>
        <v>47477</v>
      </c>
      <c r="H24" s="19">
        <f t="shared" si="8"/>
        <v>147722</v>
      </c>
      <c r="I24" s="19">
        <f t="shared" si="8"/>
        <v>77636</v>
      </c>
      <c r="J24" s="19">
        <f t="shared" si="8"/>
        <v>60280</v>
      </c>
      <c r="K24" s="19">
        <f t="shared" si="8"/>
        <v>102649</v>
      </c>
      <c r="L24" s="19">
        <f t="shared" si="8"/>
        <v>156932</v>
      </c>
      <c r="M24" s="19">
        <f t="shared" si="8"/>
        <v>65380</v>
      </c>
      <c r="N24" s="19">
        <f t="shared" si="8"/>
        <v>89316</v>
      </c>
      <c r="O24" s="19">
        <f t="shared" si="8"/>
        <v>52542</v>
      </c>
      <c r="P24" s="19">
        <f t="shared" si="8"/>
        <v>167293</v>
      </c>
      <c r="Q24" s="19">
        <f t="shared" si="8"/>
        <v>99992</v>
      </c>
      <c r="R24" s="19">
        <f t="shared" si="8"/>
        <v>88044</v>
      </c>
      <c r="S24" s="19">
        <f t="shared" si="8"/>
        <v>123196</v>
      </c>
      <c r="T24" s="19">
        <f t="shared" si="8"/>
        <v>158156</v>
      </c>
      <c r="U24" s="19">
        <f t="shared" si="8"/>
        <v>87111</v>
      </c>
      <c r="V24" s="19">
        <f>SUM(V15:V23)</f>
        <v>133819</v>
      </c>
      <c r="W24" s="19">
        <f t="shared" ref="W24:AG24" si="9">SUM(W15:W23)</f>
        <v>64175</v>
      </c>
      <c r="X24" s="19">
        <f t="shared" si="9"/>
        <v>85453</v>
      </c>
      <c r="Y24" s="19">
        <f t="shared" si="9"/>
        <v>111947</v>
      </c>
      <c r="Z24" s="19">
        <f t="shared" si="9"/>
        <v>197346</v>
      </c>
      <c r="AA24" s="19">
        <f t="shared" si="9"/>
        <v>138120</v>
      </c>
      <c r="AB24" s="19">
        <f>SUM(AB15:AB23)</f>
        <v>92339</v>
      </c>
      <c r="AC24" s="19">
        <f>SUM(AC15:AC23)</f>
        <v>95548</v>
      </c>
      <c r="AD24" s="19">
        <f>SUM(AD15:AD23)</f>
        <v>162151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-25183.120000000112</v>
      </c>
      <c r="C25" s="20">
        <f>C10+C14-C24</f>
        <v>45016.66</v>
      </c>
      <c r="D25" s="20">
        <f t="shared" ref="D25:AG25" si="10">D10+D14-D24</f>
        <v>93323.739999999991</v>
      </c>
      <c r="E25" s="20">
        <f t="shared" si="10"/>
        <v>118770.4</v>
      </c>
      <c r="F25" s="20">
        <f t="shared" si="10"/>
        <v>89587.06</v>
      </c>
      <c r="G25" s="20">
        <f t="shared" si="10"/>
        <v>135053.72</v>
      </c>
      <c r="H25" s="20">
        <f t="shared" si="10"/>
        <v>69720.479999999981</v>
      </c>
      <c r="I25" s="20">
        <f t="shared" si="10"/>
        <v>70737.139999999985</v>
      </c>
      <c r="J25" s="20">
        <f t="shared" si="10"/>
        <v>112253.79999999999</v>
      </c>
      <c r="K25" s="20">
        <f t="shared" si="10"/>
        <v>90570.459999999992</v>
      </c>
      <c r="L25" s="20">
        <f t="shared" si="10"/>
        <v>26187.119999999995</v>
      </c>
      <c r="M25" s="20">
        <f t="shared" si="10"/>
        <v>76803.78</v>
      </c>
      <c r="N25" s="20">
        <f t="shared" si="10"/>
        <v>98220.44</v>
      </c>
      <c r="O25" s="20">
        <f t="shared" si="10"/>
        <v>160867.1</v>
      </c>
      <c r="P25" s="20">
        <f t="shared" si="10"/>
        <v>111503.85999999999</v>
      </c>
      <c r="Q25" s="20">
        <f t="shared" si="10"/>
        <v>125570.51999999999</v>
      </c>
      <c r="R25" s="20">
        <f t="shared" si="10"/>
        <v>146887.18</v>
      </c>
      <c r="S25" s="20">
        <f t="shared" si="10"/>
        <v>133653.84000000003</v>
      </c>
      <c r="T25" s="20">
        <f t="shared" si="10"/>
        <v>93270.500000000029</v>
      </c>
      <c r="U25" s="20">
        <f t="shared" si="10"/>
        <v>127487.16000000003</v>
      </c>
      <c r="V25" s="20">
        <f t="shared" si="10"/>
        <v>106253.82000000004</v>
      </c>
      <c r="W25" s="20">
        <f t="shared" si="10"/>
        <v>149470.48000000004</v>
      </c>
      <c r="X25" s="20">
        <f t="shared" si="10"/>
        <v>180637.14</v>
      </c>
      <c r="Y25" s="20">
        <f t="shared" si="10"/>
        <v>176953.90000000002</v>
      </c>
      <c r="Z25" s="20">
        <f t="shared" si="10"/>
        <v>101570.56000000006</v>
      </c>
      <c r="AA25" s="20">
        <f t="shared" si="10"/>
        <v>97587.220000000059</v>
      </c>
      <c r="AB25" s="20">
        <f t="shared" si="10"/>
        <v>110653.88000000006</v>
      </c>
      <c r="AC25" s="20">
        <f t="shared" si="10"/>
        <v>130470.54000000007</v>
      </c>
      <c r="AD25" s="20">
        <f t="shared" si="10"/>
        <v>57037.300000000047</v>
      </c>
      <c r="AE25" s="20">
        <f t="shared" si="10"/>
        <v>57037.300000000047</v>
      </c>
      <c r="AF25" s="20">
        <f t="shared" si="10"/>
        <v>57037.300000000047</v>
      </c>
      <c r="AG25" s="20">
        <f t="shared" si="10"/>
        <v>57037.300000000047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tabColor theme="9" tint="0.59999389629810485"/>
  </sheetPr>
  <dimension ref="A1:AG3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41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2156</v>
      </c>
      <c r="C3" s="27">
        <v>77</v>
      </c>
      <c r="D3" s="27">
        <v>77</v>
      </c>
      <c r="E3" s="27">
        <v>77</v>
      </c>
      <c r="F3" s="27">
        <v>77</v>
      </c>
      <c r="G3" s="27">
        <v>77</v>
      </c>
      <c r="H3" s="27">
        <v>77</v>
      </c>
      <c r="I3" s="27">
        <v>77</v>
      </c>
      <c r="J3" s="27">
        <v>77</v>
      </c>
      <c r="K3" s="27">
        <v>77</v>
      </c>
      <c r="L3" s="27">
        <v>77</v>
      </c>
      <c r="M3" s="27">
        <v>77</v>
      </c>
      <c r="N3" s="27">
        <v>77</v>
      </c>
      <c r="O3" s="27">
        <v>77</v>
      </c>
      <c r="P3" s="27">
        <v>77</v>
      </c>
      <c r="Q3" s="27">
        <v>77</v>
      </c>
      <c r="R3" s="27">
        <v>77</v>
      </c>
      <c r="S3" s="27">
        <v>77</v>
      </c>
      <c r="T3" s="27">
        <v>77</v>
      </c>
      <c r="U3" s="27">
        <v>77</v>
      </c>
      <c r="V3" s="27">
        <v>77</v>
      </c>
      <c r="W3" s="27">
        <v>77</v>
      </c>
      <c r="X3" s="27">
        <v>77</v>
      </c>
      <c r="Y3" s="27">
        <v>77</v>
      </c>
      <c r="Z3" s="27">
        <v>77</v>
      </c>
      <c r="AA3" s="27">
        <v>77</v>
      </c>
      <c r="AB3" s="27">
        <v>77</v>
      </c>
      <c r="AC3" s="27">
        <v>77</v>
      </c>
      <c r="AD3" s="27">
        <v>77</v>
      </c>
      <c r="AE3" s="27"/>
      <c r="AF3" s="27"/>
      <c r="AG3" s="27"/>
    </row>
    <row r="4" spans="1:33">
      <c r="A4" s="31" t="s">
        <v>1</v>
      </c>
      <c r="B4" s="14">
        <f>SUM(C4:AG4)</f>
        <v>0</v>
      </c>
      <c r="C4" s="14"/>
      <c r="D4" s="14"/>
      <c r="E4" s="14"/>
      <c r="F4" s="14"/>
      <c r="G4" s="14"/>
      <c r="H4" s="14"/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2156</v>
      </c>
      <c r="C5" s="5">
        <f t="shared" ref="C5:AG5" si="1">+C3-C4</f>
        <v>77</v>
      </c>
      <c r="D5" s="5">
        <f t="shared" si="1"/>
        <v>77</v>
      </c>
      <c r="E5" s="5">
        <f t="shared" si="1"/>
        <v>77</v>
      </c>
      <c r="F5" s="5">
        <f t="shared" si="1"/>
        <v>77</v>
      </c>
      <c r="G5" s="5">
        <f t="shared" si="1"/>
        <v>77</v>
      </c>
      <c r="H5" s="5">
        <f t="shared" si="1"/>
        <v>77</v>
      </c>
      <c r="I5" s="5">
        <f t="shared" si="1"/>
        <v>77</v>
      </c>
      <c r="J5" s="5">
        <f t="shared" si="1"/>
        <v>77</v>
      </c>
      <c r="K5" s="5">
        <f t="shared" si="1"/>
        <v>77</v>
      </c>
      <c r="L5" s="5">
        <f t="shared" si="1"/>
        <v>77</v>
      </c>
      <c r="M5" s="5">
        <f t="shared" si="1"/>
        <v>77</v>
      </c>
      <c r="N5" s="5">
        <f t="shared" si="1"/>
        <v>77</v>
      </c>
      <c r="O5" s="5">
        <f t="shared" si="1"/>
        <v>77</v>
      </c>
      <c r="P5" s="5">
        <f t="shared" si="1"/>
        <v>77</v>
      </c>
      <c r="Q5" s="5">
        <f t="shared" si="1"/>
        <v>77</v>
      </c>
      <c r="R5" s="5">
        <f t="shared" si="1"/>
        <v>77</v>
      </c>
      <c r="S5" s="5">
        <f t="shared" si="1"/>
        <v>77</v>
      </c>
      <c r="T5" s="5">
        <f t="shared" si="1"/>
        <v>77</v>
      </c>
      <c r="U5" s="5">
        <f t="shared" si="1"/>
        <v>77</v>
      </c>
      <c r="V5" s="5">
        <f t="shared" si="1"/>
        <v>77</v>
      </c>
      <c r="W5" s="5">
        <f t="shared" si="1"/>
        <v>77</v>
      </c>
      <c r="X5" s="5">
        <f t="shared" si="1"/>
        <v>77</v>
      </c>
      <c r="Y5" s="5">
        <f t="shared" si="1"/>
        <v>77</v>
      </c>
      <c r="Z5" s="5">
        <f t="shared" si="1"/>
        <v>77</v>
      </c>
      <c r="AA5" s="5">
        <f t="shared" si="1"/>
        <v>77</v>
      </c>
      <c r="AB5" s="5">
        <f t="shared" si="1"/>
        <v>77</v>
      </c>
      <c r="AC5" s="5">
        <f t="shared" si="1"/>
        <v>77</v>
      </c>
      <c r="AD5" s="5">
        <f t="shared" si="1"/>
        <v>77</v>
      </c>
      <c r="AE5" s="5">
        <f t="shared" si="1"/>
        <v>0</v>
      </c>
      <c r="AF5" s="5">
        <f t="shared" si="1"/>
        <v>0</v>
      </c>
      <c r="AG5" s="5">
        <f t="shared" si="1"/>
        <v>0</v>
      </c>
    </row>
    <row r="6" spans="1:33">
      <c r="A6" s="26" t="s">
        <v>3</v>
      </c>
      <c r="B6" s="34">
        <f>SUM(C6:AG6)</f>
        <v>1903</v>
      </c>
      <c r="C6" s="34">
        <v>67</v>
      </c>
      <c r="D6" s="34">
        <v>74</v>
      </c>
      <c r="E6" s="34">
        <v>77</v>
      </c>
      <c r="F6" s="34">
        <v>53</v>
      </c>
      <c r="G6" s="34">
        <v>76</v>
      </c>
      <c r="H6" s="34">
        <v>67</v>
      </c>
      <c r="I6" s="34">
        <v>53</v>
      </c>
      <c r="J6" s="34">
        <v>77</v>
      </c>
      <c r="K6" s="34">
        <v>67</v>
      </c>
      <c r="L6" s="34">
        <v>69</v>
      </c>
      <c r="M6" s="34">
        <v>77</v>
      </c>
      <c r="N6" s="34">
        <v>77</v>
      </c>
      <c r="O6" s="34">
        <v>77</v>
      </c>
      <c r="P6" s="34">
        <v>77</v>
      </c>
      <c r="Q6" s="34">
        <v>77</v>
      </c>
      <c r="R6" s="34">
        <v>68</v>
      </c>
      <c r="S6" s="34">
        <v>62</v>
      </c>
      <c r="T6" s="34">
        <v>77</v>
      </c>
      <c r="U6" s="34">
        <v>68</v>
      </c>
      <c r="V6" s="34">
        <v>55</v>
      </c>
      <c r="W6" s="34">
        <v>77</v>
      </c>
      <c r="X6" s="34">
        <v>74</v>
      </c>
      <c r="Y6" s="34">
        <v>77</v>
      </c>
      <c r="Z6" s="34">
        <v>77</v>
      </c>
      <c r="AA6" s="34">
        <v>68</v>
      </c>
      <c r="AB6" s="34">
        <v>70</v>
      </c>
      <c r="AC6" s="34">
        <v>15</v>
      </c>
      <c r="AD6" s="34">
        <v>50</v>
      </c>
      <c r="AE6" s="34"/>
      <c r="AF6" s="34"/>
      <c r="AG6" s="34"/>
    </row>
    <row r="7" spans="1:33">
      <c r="A7" s="4" t="s">
        <v>4</v>
      </c>
      <c r="B7" s="7">
        <f>IF(B6=0,0,B6/B5)</f>
        <v>0.88265306122448983</v>
      </c>
      <c r="C7" s="7">
        <f t="shared" ref="C7:AG7" si="2">IF(C6=0,0,C6/C5)</f>
        <v>0.87012987012987009</v>
      </c>
      <c r="D7" s="7">
        <f t="shared" si="2"/>
        <v>0.96103896103896103</v>
      </c>
      <c r="E7" s="7">
        <f t="shared" si="2"/>
        <v>1</v>
      </c>
      <c r="F7" s="7">
        <f t="shared" si="2"/>
        <v>0.68831168831168832</v>
      </c>
      <c r="G7" s="7">
        <f t="shared" si="2"/>
        <v>0.98701298701298701</v>
      </c>
      <c r="H7" s="7">
        <f t="shared" si="2"/>
        <v>0.87012987012987009</v>
      </c>
      <c r="I7" s="7">
        <f t="shared" si="2"/>
        <v>0.68831168831168832</v>
      </c>
      <c r="J7" s="7">
        <f t="shared" si="2"/>
        <v>1</v>
      </c>
      <c r="K7" s="7">
        <f t="shared" si="2"/>
        <v>0.87012987012987009</v>
      </c>
      <c r="L7" s="7">
        <f t="shared" si="2"/>
        <v>0.89610389610389607</v>
      </c>
      <c r="M7" s="7">
        <f t="shared" si="2"/>
        <v>1</v>
      </c>
      <c r="N7" s="7">
        <f t="shared" si="2"/>
        <v>1</v>
      </c>
      <c r="O7" s="7">
        <f t="shared" si="2"/>
        <v>1</v>
      </c>
      <c r="P7" s="7">
        <f t="shared" si="2"/>
        <v>1</v>
      </c>
      <c r="Q7" s="7">
        <f t="shared" si="2"/>
        <v>1</v>
      </c>
      <c r="R7" s="7">
        <f t="shared" si="2"/>
        <v>0.88311688311688308</v>
      </c>
      <c r="S7" s="7">
        <f t="shared" si="2"/>
        <v>0.80519480519480524</v>
      </c>
      <c r="T7" s="7">
        <f t="shared" si="2"/>
        <v>1</v>
      </c>
      <c r="U7" s="7">
        <f t="shared" si="2"/>
        <v>0.88311688311688308</v>
      </c>
      <c r="V7" s="7">
        <f t="shared" si="2"/>
        <v>0.7142857142857143</v>
      </c>
      <c r="W7" s="7">
        <f t="shared" si="2"/>
        <v>1</v>
      </c>
      <c r="X7" s="7">
        <f t="shared" si="2"/>
        <v>0.96103896103896103</v>
      </c>
      <c r="Y7" s="7">
        <f t="shared" si="2"/>
        <v>1</v>
      </c>
      <c r="Z7" s="7">
        <f t="shared" si="2"/>
        <v>1</v>
      </c>
      <c r="AA7" s="7">
        <f t="shared" si="2"/>
        <v>0.88311688311688308</v>
      </c>
      <c r="AB7" s="7">
        <f t="shared" si="2"/>
        <v>0.90909090909090906</v>
      </c>
      <c r="AC7" s="7">
        <f t="shared" si="2"/>
        <v>0.19480519480519481</v>
      </c>
      <c r="AD7" s="7">
        <f t="shared" si="2"/>
        <v>0.64935064935064934</v>
      </c>
      <c r="AE7" s="7">
        <f t="shared" si="2"/>
        <v>0</v>
      </c>
      <c r="AF7" s="7">
        <f t="shared" si="2"/>
        <v>0</v>
      </c>
      <c r="AG7" s="7">
        <f t="shared" si="2"/>
        <v>0</v>
      </c>
    </row>
    <row r="8" spans="1:33">
      <c r="A8" s="4" t="s">
        <v>5</v>
      </c>
      <c r="B8" s="6">
        <f>IF(B6=0,0,B11/B6)</f>
        <v>633.8385706778771</v>
      </c>
      <c r="C8" s="6">
        <f t="shared" ref="C8:AG8" si="3">IF(C6=0,0,C11/C6)</f>
        <v>626.3680597014926</v>
      </c>
      <c r="D8" s="6">
        <f t="shared" si="3"/>
        <v>623.87378378378378</v>
      </c>
      <c r="E8" s="6">
        <f t="shared" si="3"/>
        <v>621.64493506493511</v>
      </c>
      <c r="F8" s="6">
        <f t="shared" si="3"/>
        <v>629.55962264150946</v>
      </c>
      <c r="G8" s="6">
        <f t="shared" si="3"/>
        <v>623.24552631578956</v>
      </c>
      <c r="H8" s="6">
        <f t="shared" si="3"/>
        <v>620.39791044776121</v>
      </c>
      <c r="I8" s="6">
        <f t="shared" si="3"/>
        <v>627.67283018867931</v>
      </c>
      <c r="J8" s="6">
        <f t="shared" si="3"/>
        <v>652.81376623376627</v>
      </c>
      <c r="K8" s="6">
        <f t="shared" si="3"/>
        <v>690.22358208955234</v>
      </c>
      <c r="L8" s="6">
        <f t="shared" si="3"/>
        <v>634.29942028985511</v>
      </c>
      <c r="M8" s="6">
        <f t="shared" si="3"/>
        <v>622.94363636363641</v>
      </c>
      <c r="N8" s="6">
        <f t="shared" si="3"/>
        <v>650.86571428571438</v>
      </c>
      <c r="O8" s="6">
        <f t="shared" si="3"/>
        <v>622.94363636363641</v>
      </c>
      <c r="P8" s="6">
        <f t="shared" si="3"/>
        <v>622.94363636363641</v>
      </c>
      <c r="Q8" s="6">
        <f t="shared" si="3"/>
        <v>622.94363636363641</v>
      </c>
      <c r="R8" s="6">
        <f t="shared" si="3"/>
        <v>625.98029411764708</v>
      </c>
      <c r="S8" s="6">
        <f t="shared" si="3"/>
        <v>725.26870967741945</v>
      </c>
      <c r="T8" s="6">
        <f t="shared" si="3"/>
        <v>622.94363636363641</v>
      </c>
      <c r="U8" s="6">
        <f t="shared" si="3"/>
        <v>625.98029411764708</v>
      </c>
      <c r="V8" s="6">
        <f t="shared" si="3"/>
        <v>632.12109090909098</v>
      </c>
      <c r="W8" s="6">
        <f t="shared" si="3"/>
        <v>622.94363636363641</v>
      </c>
      <c r="X8" s="6">
        <f t="shared" si="3"/>
        <v>623.87378378378378</v>
      </c>
      <c r="Y8" s="6">
        <f t="shared" si="3"/>
        <v>629.43714285714293</v>
      </c>
      <c r="Z8" s="6">
        <f t="shared" si="3"/>
        <v>622.94363636363641</v>
      </c>
      <c r="AA8" s="6">
        <f t="shared" si="3"/>
        <v>620.09794117647061</v>
      </c>
      <c r="AB8" s="6">
        <f t="shared" si="3"/>
        <v>608.09514285714295</v>
      </c>
      <c r="AC8" s="6">
        <f t="shared" si="3"/>
        <v>684.44399999999996</v>
      </c>
      <c r="AD8" s="6">
        <f t="shared" si="3"/>
        <v>679.33320000000003</v>
      </c>
      <c r="AE8" s="6">
        <f t="shared" si="3"/>
        <v>0</v>
      </c>
      <c r="AF8" s="6">
        <f t="shared" si="3"/>
        <v>0</v>
      </c>
      <c r="AG8" s="6">
        <f t="shared" si="3"/>
        <v>0</v>
      </c>
    </row>
    <row r="9" spans="1:33">
      <c r="A9" s="4" t="s">
        <v>6</v>
      </c>
      <c r="B9" s="6">
        <f>IF(B11=0,0,B11/B3)</f>
        <v>559.45955473098331</v>
      </c>
      <c r="C9" s="6">
        <f t="shared" ref="C9:AG9" si="4">IF(C11=0,0,C11/C3)</f>
        <v>545.02155844155845</v>
      </c>
      <c r="D9" s="6">
        <f t="shared" si="4"/>
        <v>599.56701298701307</v>
      </c>
      <c r="E9" s="6">
        <f t="shared" si="4"/>
        <v>621.64493506493511</v>
      </c>
      <c r="F9" s="6">
        <f t="shared" si="4"/>
        <v>433.33324675324678</v>
      </c>
      <c r="G9" s="6">
        <f t="shared" si="4"/>
        <v>615.1514285714286</v>
      </c>
      <c r="H9" s="6">
        <f t="shared" si="4"/>
        <v>539.82675324675324</v>
      </c>
      <c r="I9" s="6">
        <f t="shared" si="4"/>
        <v>432.03454545454548</v>
      </c>
      <c r="J9" s="6">
        <f t="shared" si="4"/>
        <v>652.81376623376627</v>
      </c>
      <c r="K9" s="6">
        <f t="shared" si="4"/>
        <v>600.58415584415593</v>
      </c>
      <c r="L9" s="6">
        <f t="shared" si="4"/>
        <v>568.39818181818191</v>
      </c>
      <c r="M9" s="6">
        <f t="shared" si="4"/>
        <v>622.94363636363641</v>
      </c>
      <c r="N9" s="6">
        <f t="shared" si="4"/>
        <v>650.86571428571438</v>
      </c>
      <c r="O9" s="6">
        <f t="shared" si="4"/>
        <v>622.94363636363641</v>
      </c>
      <c r="P9" s="6">
        <f t="shared" si="4"/>
        <v>622.94363636363641</v>
      </c>
      <c r="Q9" s="6">
        <f t="shared" si="4"/>
        <v>622.94363636363641</v>
      </c>
      <c r="R9" s="6">
        <f t="shared" si="4"/>
        <v>552.81376623376627</v>
      </c>
      <c r="S9" s="6">
        <f t="shared" si="4"/>
        <v>583.98259740259743</v>
      </c>
      <c r="T9" s="6">
        <f t="shared" si="4"/>
        <v>622.94363636363641</v>
      </c>
      <c r="U9" s="6">
        <f t="shared" si="4"/>
        <v>552.81376623376627</v>
      </c>
      <c r="V9" s="6">
        <f t="shared" si="4"/>
        <v>451.51506493506497</v>
      </c>
      <c r="W9" s="6">
        <f t="shared" si="4"/>
        <v>622.94363636363641</v>
      </c>
      <c r="X9" s="6">
        <f t="shared" si="4"/>
        <v>599.56701298701307</v>
      </c>
      <c r="Y9" s="6">
        <f t="shared" si="4"/>
        <v>629.43714285714293</v>
      </c>
      <c r="Z9" s="6">
        <f t="shared" si="4"/>
        <v>622.94363636363641</v>
      </c>
      <c r="AA9" s="6">
        <f t="shared" si="4"/>
        <v>547.61896103896106</v>
      </c>
      <c r="AB9" s="6">
        <f t="shared" si="4"/>
        <v>552.81376623376627</v>
      </c>
      <c r="AC9" s="6">
        <f t="shared" si="4"/>
        <v>133.33324675324675</v>
      </c>
      <c r="AD9" s="6">
        <f t="shared" si="4"/>
        <v>441.1254545454546</v>
      </c>
      <c r="AE9" s="6">
        <f t="shared" si="4"/>
        <v>0</v>
      </c>
      <c r="AF9" s="6">
        <f t="shared" si="4"/>
        <v>0</v>
      </c>
      <c r="AG9" s="6">
        <f t="shared" si="4"/>
        <v>0</v>
      </c>
    </row>
    <row r="10" spans="1:33" ht="20.100000000000001" customHeight="1">
      <c r="A10" s="21" t="s">
        <v>23</v>
      </c>
      <c r="B10" s="29"/>
      <c r="C10" s="29">
        <v>107866.48</v>
      </c>
      <c r="D10" s="29">
        <f>C25</f>
        <v>71033.140000000014</v>
      </c>
      <c r="E10" s="29">
        <f t="shared" ref="E10:AG10" si="5">D25</f>
        <v>48699.800000000017</v>
      </c>
      <c r="F10" s="29">
        <f t="shared" si="5"/>
        <v>52366.460000000021</v>
      </c>
      <c r="G10" s="29">
        <f t="shared" si="5"/>
        <v>38733.120000000024</v>
      </c>
      <c r="H10" s="29">
        <f t="shared" si="5"/>
        <v>66299.780000000028</v>
      </c>
      <c r="I10" s="29">
        <f t="shared" si="5"/>
        <v>54266.440000000031</v>
      </c>
      <c r="J10" s="29">
        <f t="shared" si="5"/>
        <v>8933.1000000000349</v>
      </c>
      <c r="K10" s="29">
        <f t="shared" si="5"/>
        <v>74999.760000000038</v>
      </c>
      <c r="L10" s="29">
        <f t="shared" si="5"/>
        <v>48244.740000000049</v>
      </c>
      <c r="M10" s="29">
        <f t="shared" si="5"/>
        <v>76533.080000000045</v>
      </c>
      <c r="N10" s="29">
        <f t="shared" si="5"/>
        <v>46899.740000000049</v>
      </c>
      <c r="O10" s="29">
        <f t="shared" si="5"/>
        <v>79666.400000000052</v>
      </c>
      <c r="P10" s="29">
        <f t="shared" si="5"/>
        <v>45233.060000000056</v>
      </c>
      <c r="Q10" s="29">
        <f t="shared" si="5"/>
        <v>78799.720000000059</v>
      </c>
      <c r="R10" s="29">
        <f t="shared" si="5"/>
        <v>56366.380000000063</v>
      </c>
      <c r="S10" s="29">
        <f t="shared" si="5"/>
        <v>56333.040000000066</v>
      </c>
      <c r="T10" s="29">
        <f t="shared" si="5"/>
        <v>65499.70000000007</v>
      </c>
      <c r="U10" s="29">
        <f t="shared" si="5"/>
        <v>48666.360000000073</v>
      </c>
      <c r="V10" s="29">
        <f t="shared" si="5"/>
        <v>88633.020000000077</v>
      </c>
      <c r="W10" s="29">
        <f t="shared" si="5"/>
        <v>25399.68000000008</v>
      </c>
      <c r="X10" s="29">
        <f t="shared" si="5"/>
        <v>87766.340000000084</v>
      </c>
      <c r="Y10" s="29">
        <f t="shared" si="5"/>
        <v>62933.000000000087</v>
      </c>
      <c r="Z10" s="29">
        <f t="shared" si="5"/>
        <v>72499.660000000091</v>
      </c>
      <c r="AA10" s="29">
        <f t="shared" si="5"/>
        <v>106066.32000000009</v>
      </c>
      <c r="AB10" s="29">
        <f t="shared" si="5"/>
        <v>62032.980000000098</v>
      </c>
      <c r="AC10" s="29">
        <f t="shared" si="5"/>
        <v>74399.640000000101</v>
      </c>
      <c r="AD10" s="29">
        <f t="shared" si="5"/>
        <v>7666.3000000001048</v>
      </c>
      <c r="AE10" s="29">
        <f t="shared" si="5"/>
        <v>29732.960000000108</v>
      </c>
      <c r="AF10" s="29">
        <f t="shared" si="5"/>
        <v>29732.960000000108</v>
      </c>
      <c r="AG10" s="29">
        <f t="shared" si="5"/>
        <v>29732.960000000108</v>
      </c>
    </row>
    <row r="11" spans="1:33">
      <c r="A11" s="4" t="s">
        <v>8</v>
      </c>
      <c r="B11" s="23">
        <f>SUM(C11:AG11)</f>
        <v>1206194.8</v>
      </c>
      <c r="C11" s="23">
        <v>41966.66</v>
      </c>
      <c r="D11" s="23">
        <v>46166.66</v>
      </c>
      <c r="E11" s="23">
        <v>47866.66</v>
      </c>
      <c r="F11" s="23">
        <v>33366.660000000003</v>
      </c>
      <c r="G11" s="23">
        <v>47366.66</v>
      </c>
      <c r="H11" s="23">
        <v>41566.660000000003</v>
      </c>
      <c r="I11" s="23">
        <v>33266.660000000003</v>
      </c>
      <c r="J11" s="23">
        <v>50266.66</v>
      </c>
      <c r="K11" s="23">
        <v>46244.98</v>
      </c>
      <c r="L11" s="23">
        <v>43766.66</v>
      </c>
      <c r="M11" s="23">
        <v>47966.66</v>
      </c>
      <c r="N11" s="23">
        <v>50116.66</v>
      </c>
      <c r="O11" s="23">
        <v>47966.66</v>
      </c>
      <c r="P11" s="23">
        <v>47966.66</v>
      </c>
      <c r="Q11" s="23">
        <v>47966.66</v>
      </c>
      <c r="R11" s="23">
        <v>42566.66</v>
      </c>
      <c r="S11" s="23">
        <v>44966.66</v>
      </c>
      <c r="T11" s="23">
        <v>47966.66</v>
      </c>
      <c r="U11" s="23">
        <v>42566.66</v>
      </c>
      <c r="V11" s="23">
        <v>34766.660000000003</v>
      </c>
      <c r="W11" s="23">
        <v>47966.66</v>
      </c>
      <c r="X11" s="23">
        <v>46166.66</v>
      </c>
      <c r="Y11" s="23">
        <v>48466.66</v>
      </c>
      <c r="Z11" s="23">
        <v>47966.66</v>
      </c>
      <c r="AA11" s="23">
        <v>42166.66</v>
      </c>
      <c r="AB11" s="23">
        <v>42566.66</v>
      </c>
      <c r="AC11" s="23">
        <v>10266.66</v>
      </c>
      <c r="AD11" s="23">
        <v>33966.660000000003</v>
      </c>
      <c r="AE11" s="23"/>
      <c r="AF11" s="23"/>
      <c r="AG11" s="23"/>
    </row>
    <row r="12" spans="1:33">
      <c r="A12" s="4" t="s">
        <v>9</v>
      </c>
      <c r="B12" s="23">
        <f>SUM(C12:AG12)</f>
        <v>387800</v>
      </c>
      <c r="C12" s="23">
        <v>13200</v>
      </c>
      <c r="D12" s="23">
        <v>14700</v>
      </c>
      <c r="E12" s="23">
        <v>15300</v>
      </c>
      <c r="F12" s="23">
        <v>10400</v>
      </c>
      <c r="G12" s="23">
        <v>15000</v>
      </c>
      <c r="H12" s="23">
        <v>13200</v>
      </c>
      <c r="I12" s="23">
        <v>23100</v>
      </c>
      <c r="J12" s="23">
        <v>15300</v>
      </c>
      <c r="K12" s="23">
        <v>13200</v>
      </c>
      <c r="L12" s="23">
        <v>13500</v>
      </c>
      <c r="M12" s="23">
        <v>15200</v>
      </c>
      <c r="N12" s="23">
        <v>15100</v>
      </c>
      <c r="O12" s="23">
        <v>15200</v>
      </c>
      <c r="P12" s="23">
        <v>15200</v>
      </c>
      <c r="Q12" s="23">
        <v>15200</v>
      </c>
      <c r="R12" s="23">
        <v>13400</v>
      </c>
      <c r="S12" s="23">
        <v>12200</v>
      </c>
      <c r="T12" s="23">
        <v>15200</v>
      </c>
      <c r="U12" s="23">
        <v>13400</v>
      </c>
      <c r="V12" s="23">
        <v>10800</v>
      </c>
      <c r="W12" s="23">
        <v>15200</v>
      </c>
      <c r="X12" s="23">
        <v>14600</v>
      </c>
      <c r="Y12" s="23">
        <v>15200</v>
      </c>
      <c r="Z12" s="23">
        <v>15200</v>
      </c>
      <c r="AA12" s="23">
        <v>13400</v>
      </c>
      <c r="AB12" s="23">
        <v>13800</v>
      </c>
      <c r="AC12" s="23">
        <v>2800</v>
      </c>
      <c r="AD12" s="23">
        <v>9800</v>
      </c>
      <c r="AE12" s="23"/>
      <c r="AF12" s="23"/>
      <c r="AG12" s="23"/>
    </row>
    <row r="13" spans="1:33">
      <c r="A13" s="8" t="s">
        <v>10</v>
      </c>
      <c r="B13" s="23">
        <f>SUM(C13:AG13)</f>
        <v>7300</v>
      </c>
      <c r="C13" s="24">
        <v>350</v>
      </c>
      <c r="D13" s="24">
        <v>500</v>
      </c>
      <c r="E13" s="24">
        <v>500</v>
      </c>
      <c r="F13" s="24"/>
      <c r="G13" s="24"/>
      <c r="H13" s="24"/>
      <c r="I13" s="24">
        <v>550</v>
      </c>
      <c r="J13" s="24">
        <v>500</v>
      </c>
      <c r="K13" s="23"/>
      <c r="L13" s="23">
        <v>1500</v>
      </c>
      <c r="M13" s="23">
        <v>300</v>
      </c>
      <c r="N13" s="23"/>
      <c r="O13" s="23"/>
      <c r="P13" s="23">
        <v>1000</v>
      </c>
      <c r="Q13" s="23">
        <v>500</v>
      </c>
      <c r="R13" s="23"/>
      <c r="S13" s="23">
        <v>800</v>
      </c>
      <c r="T13" s="23">
        <v>500</v>
      </c>
      <c r="U13" s="23"/>
      <c r="V13" s="23"/>
      <c r="W13" s="23"/>
      <c r="X13" s="23"/>
      <c r="Y13" s="23"/>
      <c r="Z13" s="23"/>
      <c r="AA13" s="23"/>
      <c r="AB13" s="23">
        <v>300</v>
      </c>
      <c r="AC13" s="23"/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1601294.8</v>
      </c>
      <c r="C14" s="18">
        <f>SUM(C11:C13)</f>
        <v>55516.66</v>
      </c>
      <c r="D14" s="18">
        <f t="shared" ref="D14:AG14" si="6">SUM(D11:D13)</f>
        <v>61366.66</v>
      </c>
      <c r="E14" s="18">
        <f t="shared" si="6"/>
        <v>63666.66</v>
      </c>
      <c r="F14" s="18">
        <f t="shared" si="6"/>
        <v>43766.66</v>
      </c>
      <c r="G14" s="18">
        <f t="shared" si="6"/>
        <v>62366.66</v>
      </c>
      <c r="H14" s="18">
        <f t="shared" si="6"/>
        <v>54766.66</v>
      </c>
      <c r="I14" s="18">
        <f t="shared" si="6"/>
        <v>56916.66</v>
      </c>
      <c r="J14" s="18">
        <f t="shared" si="6"/>
        <v>66066.66</v>
      </c>
      <c r="K14" s="18">
        <f t="shared" si="6"/>
        <v>59444.98</v>
      </c>
      <c r="L14" s="18">
        <f t="shared" si="6"/>
        <v>58766.66</v>
      </c>
      <c r="M14" s="18">
        <f t="shared" si="6"/>
        <v>63466.66</v>
      </c>
      <c r="N14" s="18">
        <f t="shared" si="6"/>
        <v>65216.66</v>
      </c>
      <c r="O14" s="18">
        <f t="shared" si="6"/>
        <v>63166.66</v>
      </c>
      <c r="P14" s="18">
        <f t="shared" si="6"/>
        <v>64166.66</v>
      </c>
      <c r="Q14" s="18">
        <f t="shared" si="6"/>
        <v>63666.66</v>
      </c>
      <c r="R14" s="18">
        <f t="shared" si="6"/>
        <v>55966.66</v>
      </c>
      <c r="S14" s="18">
        <f t="shared" si="6"/>
        <v>57966.66</v>
      </c>
      <c r="T14" s="18">
        <f t="shared" si="6"/>
        <v>63666.66</v>
      </c>
      <c r="U14" s="18">
        <f t="shared" si="6"/>
        <v>55966.66</v>
      </c>
      <c r="V14" s="18">
        <f t="shared" si="6"/>
        <v>45566.66</v>
      </c>
      <c r="W14" s="18">
        <f t="shared" si="6"/>
        <v>63166.66</v>
      </c>
      <c r="X14" s="18">
        <f t="shared" si="6"/>
        <v>60766.66</v>
      </c>
      <c r="Y14" s="18">
        <f t="shared" si="6"/>
        <v>63666.66</v>
      </c>
      <c r="Z14" s="18">
        <f t="shared" si="6"/>
        <v>63166.66</v>
      </c>
      <c r="AA14" s="18">
        <f t="shared" si="6"/>
        <v>55566.66</v>
      </c>
      <c r="AB14" s="18">
        <f t="shared" si="6"/>
        <v>56666.66</v>
      </c>
      <c r="AC14" s="18">
        <f t="shared" si="6"/>
        <v>13066.66</v>
      </c>
      <c r="AD14" s="18">
        <f t="shared" si="6"/>
        <v>43766.66</v>
      </c>
      <c r="AE14" s="18">
        <f t="shared" si="6"/>
        <v>0</v>
      </c>
      <c r="AF14" s="18">
        <f t="shared" si="6"/>
        <v>0</v>
      </c>
      <c r="AG14" s="18">
        <f t="shared" si="6"/>
        <v>0</v>
      </c>
    </row>
    <row r="15" spans="1:33">
      <c r="A15" s="16" t="s">
        <v>15</v>
      </c>
      <c r="B15" s="23">
        <f t="shared" ref="B15:B23" si="7">SUM(C15:AG15)</f>
        <v>61050</v>
      </c>
      <c r="C15" s="23">
        <v>350</v>
      </c>
      <c r="D15" s="23">
        <f>35000+1500</f>
        <v>36500</v>
      </c>
      <c r="E15" s="23"/>
      <c r="F15" s="23"/>
      <c r="G15" s="23"/>
      <c r="H15" s="23"/>
      <c r="I15" s="23">
        <v>12650</v>
      </c>
      <c r="J15" s="23"/>
      <c r="K15" s="23"/>
      <c r="L15" s="23">
        <v>1500</v>
      </c>
      <c r="M15" s="23">
        <v>300</v>
      </c>
      <c r="N15" s="23">
        <v>3650</v>
      </c>
      <c r="O15" s="23"/>
      <c r="P15" s="23">
        <v>1000</v>
      </c>
      <c r="Q15" s="23">
        <v>500</v>
      </c>
      <c r="R15" s="23"/>
      <c r="S15" s="23">
        <v>800</v>
      </c>
      <c r="T15" s="23">
        <v>500</v>
      </c>
      <c r="U15" s="23"/>
      <c r="V15" s="23"/>
      <c r="W15" s="23"/>
      <c r="X15" s="23"/>
      <c r="Y15" s="23"/>
      <c r="Z15" s="23"/>
      <c r="AA15" s="23"/>
      <c r="AB15" s="23">
        <v>300</v>
      </c>
      <c r="AC15" s="23">
        <v>3000</v>
      </c>
      <c r="AD15" s="23"/>
      <c r="AE15" s="23"/>
      <c r="AF15" s="23"/>
      <c r="AG15" s="23"/>
    </row>
    <row r="16" spans="1:33">
      <c r="A16" s="16" t="s">
        <v>16</v>
      </c>
      <c r="B16" s="23">
        <f t="shared" si="7"/>
        <v>15078.32</v>
      </c>
      <c r="C16" s="23"/>
      <c r="D16" s="23"/>
      <c r="E16" s="23"/>
      <c r="F16" s="23"/>
      <c r="G16" s="23"/>
      <c r="H16" s="23"/>
      <c r="I16" s="23"/>
      <c r="J16" s="23"/>
      <c r="K16" s="23"/>
      <c r="L16" s="23">
        <f>10078.32+2500</f>
        <v>12578.32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>
        <v>2500</v>
      </c>
      <c r="AE16" s="23"/>
      <c r="AF16" s="23"/>
      <c r="AG16" s="23"/>
    </row>
    <row r="17" spans="1:33">
      <c r="A17" s="16" t="s">
        <v>17</v>
      </c>
      <c r="B17" s="23">
        <f t="shared" si="7"/>
        <v>1300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>
        <v>1300</v>
      </c>
      <c r="Z17" s="23"/>
      <c r="AA17" s="23"/>
      <c r="AB17" s="23"/>
      <c r="AC17" s="23"/>
      <c r="AD17" s="23"/>
      <c r="AE17" s="23"/>
      <c r="AF17" s="23"/>
      <c r="AG17" s="23"/>
    </row>
    <row r="18" spans="1:33">
      <c r="A18" s="16" t="s">
        <v>18</v>
      </c>
      <c r="B18" s="23">
        <f t="shared" si="7"/>
        <v>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1:33">
      <c r="A20" s="16" t="s">
        <v>20</v>
      </c>
      <c r="B20" s="23">
        <f t="shared" si="7"/>
        <v>0</v>
      </c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1602000</v>
      </c>
      <c r="C21" s="23">
        <v>92000</v>
      </c>
      <c r="D21" s="23">
        <v>47200</v>
      </c>
      <c r="E21" s="23">
        <v>60000</v>
      </c>
      <c r="F21" s="23">
        <v>57400</v>
      </c>
      <c r="G21" s="23">
        <v>34800</v>
      </c>
      <c r="H21" s="23">
        <v>66800</v>
      </c>
      <c r="I21" s="23">
        <v>89600</v>
      </c>
      <c r="J21" s="23"/>
      <c r="K21" s="23">
        <v>86200</v>
      </c>
      <c r="L21" s="23">
        <v>16400</v>
      </c>
      <c r="M21" s="23">
        <v>92800</v>
      </c>
      <c r="N21" s="23">
        <v>28800</v>
      </c>
      <c r="O21" s="23">
        <v>97600</v>
      </c>
      <c r="P21" s="23">
        <v>29600</v>
      </c>
      <c r="Q21" s="23">
        <v>85600</v>
      </c>
      <c r="R21" s="23">
        <v>56000</v>
      </c>
      <c r="S21" s="23">
        <v>48000</v>
      </c>
      <c r="T21" s="23">
        <v>80000</v>
      </c>
      <c r="U21" s="23">
        <v>16000</v>
      </c>
      <c r="V21" s="23">
        <v>108800</v>
      </c>
      <c r="W21" s="23">
        <v>800</v>
      </c>
      <c r="X21" s="23">
        <v>85600</v>
      </c>
      <c r="Y21" s="23">
        <v>52800</v>
      </c>
      <c r="Z21" s="23">
        <v>29600</v>
      </c>
      <c r="AA21" s="23">
        <v>99600</v>
      </c>
      <c r="AB21" s="23">
        <v>44000</v>
      </c>
      <c r="AC21" s="23">
        <v>76800</v>
      </c>
      <c r="AD21" s="23">
        <v>19200</v>
      </c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0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1679428.32</v>
      </c>
      <c r="C24" s="19">
        <f>SUM(C15:C23)</f>
        <v>92350</v>
      </c>
      <c r="D24" s="19">
        <f t="shared" ref="D24:U24" si="8">SUM(D15:D23)</f>
        <v>83700</v>
      </c>
      <c r="E24" s="19">
        <f t="shared" si="8"/>
        <v>60000</v>
      </c>
      <c r="F24" s="19">
        <f t="shared" si="8"/>
        <v>57400</v>
      </c>
      <c r="G24" s="19">
        <f t="shared" si="8"/>
        <v>34800</v>
      </c>
      <c r="H24" s="19">
        <f t="shared" si="8"/>
        <v>66800</v>
      </c>
      <c r="I24" s="19">
        <f t="shared" si="8"/>
        <v>102250</v>
      </c>
      <c r="J24" s="19">
        <f t="shared" si="8"/>
        <v>0</v>
      </c>
      <c r="K24" s="19">
        <f t="shared" si="8"/>
        <v>86200</v>
      </c>
      <c r="L24" s="19">
        <f t="shared" si="8"/>
        <v>30478.32</v>
      </c>
      <c r="M24" s="19">
        <f t="shared" si="8"/>
        <v>93100</v>
      </c>
      <c r="N24" s="19">
        <f t="shared" si="8"/>
        <v>32450</v>
      </c>
      <c r="O24" s="19">
        <f t="shared" si="8"/>
        <v>97600</v>
      </c>
      <c r="P24" s="19">
        <f t="shared" si="8"/>
        <v>30600</v>
      </c>
      <c r="Q24" s="19">
        <f t="shared" si="8"/>
        <v>86100</v>
      </c>
      <c r="R24" s="19">
        <f t="shared" si="8"/>
        <v>56000</v>
      </c>
      <c r="S24" s="19">
        <f t="shared" si="8"/>
        <v>48800</v>
      </c>
      <c r="T24" s="19">
        <f t="shared" si="8"/>
        <v>80500</v>
      </c>
      <c r="U24" s="19">
        <f t="shared" si="8"/>
        <v>16000</v>
      </c>
      <c r="V24" s="19">
        <f>SUM(V15:V23)</f>
        <v>108800</v>
      </c>
      <c r="W24" s="19">
        <f t="shared" ref="W24:AG24" si="9">SUM(W15:W23)</f>
        <v>800</v>
      </c>
      <c r="X24" s="19">
        <f t="shared" si="9"/>
        <v>85600</v>
      </c>
      <c r="Y24" s="19">
        <f t="shared" si="9"/>
        <v>54100</v>
      </c>
      <c r="Z24" s="19">
        <f t="shared" si="9"/>
        <v>29600</v>
      </c>
      <c r="AA24" s="19">
        <f t="shared" si="9"/>
        <v>99600</v>
      </c>
      <c r="AB24" s="19">
        <f t="shared" si="9"/>
        <v>44300</v>
      </c>
      <c r="AC24" s="19">
        <f>SUM(AC15:AC23)</f>
        <v>79800</v>
      </c>
      <c r="AD24" s="19">
        <f>SUM(AD15:AD23)</f>
        <v>21700</v>
      </c>
      <c r="AE24" s="19">
        <f t="shared" si="9"/>
        <v>0</v>
      </c>
      <c r="AF24" s="19">
        <f t="shared" si="9"/>
        <v>0</v>
      </c>
      <c r="AG24" s="19">
        <f t="shared" si="9"/>
        <v>0</v>
      </c>
    </row>
    <row r="25" spans="1:33" ht="20.100000000000001" customHeight="1" thickBot="1">
      <c r="A25" s="11" t="s">
        <v>24</v>
      </c>
      <c r="B25" s="20">
        <f>B10+B14-B24</f>
        <v>-78133.520000000019</v>
      </c>
      <c r="C25" s="20">
        <f>C10+C14-C24</f>
        <v>71033.140000000014</v>
      </c>
      <c r="D25" s="20">
        <f t="shared" ref="D25:AG25" si="10">D10+D14-D24</f>
        <v>48699.800000000017</v>
      </c>
      <c r="E25" s="20">
        <f t="shared" si="10"/>
        <v>52366.460000000021</v>
      </c>
      <c r="F25" s="20">
        <f t="shared" si="10"/>
        <v>38733.120000000024</v>
      </c>
      <c r="G25" s="20">
        <f t="shared" si="10"/>
        <v>66299.780000000028</v>
      </c>
      <c r="H25" s="20">
        <f t="shared" si="10"/>
        <v>54266.440000000031</v>
      </c>
      <c r="I25" s="20">
        <f t="shared" si="10"/>
        <v>8933.1000000000349</v>
      </c>
      <c r="J25" s="20">
        <f t="shared" si="10"/>
        <v>74999.760000000038</v>
      </c>
      <c r="K25" s="20">
        <f t="shared" si="10"/>
        <v>48244.740000000049</v>
      </c>
      <c r="L25" s="20">
        <f t="shared" si="10"/>
        <v>76533.080000000045</v>
      </c>
      <c r="M25" s="20">
        <f t="shared" si="10"/>
        <v>46899.740000000049</v>
      </c>
      <c r="N25" s="20">
        <f t="shared" si="10"/>
        <v>79666.400000000052</v>
      </c>
      <c r="O25" s="20">
        <f t="shared" si="10"/>
        <v>45233.060000000056</v>
      </c>
      <c r="P25" s="20">
        <f t="shared" si="10"/>
        <v>78799.720000000059</v>
      </c>
      <c r="Q25" s="20">
        <f t="shared" si="10"/>
        <v>56366.380000000063</v>
      </c>
      <c r="R25" s="20">
        <f t="shared" si="10"/>
        <v>56333.040000000066</v>
      </c>
      <c r="S25" s="20">
        <f t="shared" si="10"/>
        <v>65499.70000000007</v>
      </c>
      <c r="T25" s="20">
        <f t="shared" si="10"/>
        <v>48666.360000000073</v>
      </c>
      <c r="U25" s="20">
        <f t="shared" si="10"/>
        <v>88633.020000000077</v>
      </c>
      <c r="V25" s="20">
        <f t="shared" si="10"/>
        <v>25399.68000000008</v>
      </c>
      <c r="W25" s="20">
        <f t="shared" si="10"/>
        <v>87766.340000000084</v>
      </c>
      <c r="X25" s="20">
        <f t="shared" si="10"/>
        <v>62933.000000000087</v>
      </c>
      <c r="Y25" s="20">
        <f t="shared" si="10"/>
        <v>72499.660000000091</v>
      </c>
      <c r="Z25" s="20">
        <f t="shared" si="10"/>
        <v>106066.32000000009</v>
      </c>
      <c r="AA25" s="20">
        <f t="shared" si="10"/>
        <v>62032.980000000098</v>
      </c>
      <c r="AB25" s="20">
        <f t="shared" si="10"/>
        <v>74399.640000000101</v>
      </c>
      <c r="AC25" s="20">
        <f t="shared" si="10"/>
        <v>7666.3000000001048</v>
      </c>
      <c r="AD25" s="20">
        <f t="shared" si="10"/>
        <v>29732.960000000108</v>
      </c>
      <c r="AE25" s="20">
        <f t="shared" si="10"/>
        <v>29732.960000000108</v>
      </c>
      <c r="AF25" s="20">
        <f t="shared" si="10"/>
        <v>29732.960000000108</v>
      </c>
      <c r="AG25" s="20">
        <f t="shared" si="10"/>
        <v>29732.960000000108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0"/>
  <dimension ref="B1:B32"/>
  <sheetViews>
    <sheetView workbookViewId="0">
      <selection activeCell="C2" sqref="C2"/>
    </sheetView>
  </sheetViews>
  <sheetFormatPr defaultRowHeight="14.25"/>
  <cols>
    <col min="2" max="2" width="9" style="40"/>
  </cols>
  <sheetData>
    <row r="1" spans="2:2">
      <c r="B1" s="41" t="s">
        <v>44</v>
      </c>
    </row>
    <row r="2" spans="2:2">
      <c r="B2" s="40">
        <v>1</v>
      </c>
    </row>
    <row r="3" spans="2:2">
      <c r="B3" s="40">
        <v>2</v>
      </c>
    </row>
    <row r="4" spans="2:2">
      <c r="B4" s="40">
        <v>3</v>
      </c>
    </row>
    <row r="5" spans="2:2">
      <c r="B5" s="40">
        <v>4</v>
      </c>
    </row>
    <row r="6" spans="2:2">
      <c r="B6" s="40">
        <v>5</v>
      </c>
    </row>
    <row r="7" spans="2:2">
      <c r="B7" s="40">
        <v>6</v>
      </c>
    </row>
    <row r="8" spans="2:2">
      <c r="B8" s="40">
        <v>7</v>
      </c>
    </row>
    <row r="9" spans="2:2">
      <c r="B9" s="40">
        <v>8</v>
      </c>
    </row>
    <row r="10" spans="2:2">
      <c r="B10" s="40">
        <v>9</v>
      </c>
    </row>
    <row r="11" spans="2:2">
      <c r="B11" s="40">
        <v>10</v>
      </c>
    </row>
    <row r="12" spans="2:2">
      <c r="B12" s="40">
        <v>11</v>
      </c>
    </row>
    <row r="13" spans="2:2">
      <c r="B13" s="40">
        <v>12</v>
      </c>
    </row>
    <row r="14" spans="2:2">
      <c r="B14" s="40">
        <v>13</v>
      </c>
    </row>
    <row r="15" spans="2:2">
      <c r="B15" s="40">
        <v>14</v>
      </c>
    </row>
    <row r="16" spans="2:2">
      <c r="B16" s="40">
        <v>15</v>
      </c>
    </row>
    <row r="17" spans="2:2">
      <c r="B17" s="40">
        <v>16</v>
      </c>
    </row>
    <row r="18" spans="2:2">
      <c r="B18" s="40">
        <v>17</v>
      </c>
    </row>
    <row r="19" spans="2:2">
      <c r="B19" s="40">
        <v>18</v>
      </c>
    </row>
    <row r="20" spans="2:2">
      <c r="B20" s="40">
        <v>19</v>
      </c>
    </row>
    <row r="21" spans="2:2">
      <c r="B21" s="40">
        <v>20</v>
      </c>
    </row>
    <row r="22" spans="2:2">
      <c r="B22" s="40">
        <v>21</v>
      </c>
    </row>
    <row r="23" spans="2:2">
      <c r="B23" s="40">
        <v>22</v>
      </c>
    </row>
    <row r="24" spans="2:2">
      <c r="B24" s="40">
        <v>23</v>
      </c>
    </row>
    <row r="25" spans="2:2">
      <c r="B25" s="40">
        <v>24</v>
      </c>
    </row>
    <row r="26" spans="2:2">
      <c r="B26" s="40">
        <v>25</v>
      </c>
    </row>
    <row r="27" spans="2:2">
      <c r="B27" s="40">
        <v>26</v>
      </c>
    </row>
    <row r="28" spans="2:2">
      <c r="B28" s="40">
        <v>27</v>
      </c>
    </row>
    <row r="29" spans="2:2">
      <c r="B29" s="40">
        <v>28</v>
      </c>
    </row>
    <row r="30" spans="2:2">
      <c r="B30" s="40">
        <v>29</v>
      </c>
    </row>
    <row r="31" spans="2:2">
      <c r="B31" s="40">
        <v>30</v>
      </c>
    </row>
    <row r="32" spans="2:2">
      <c r="B32" s="40">
        <v>31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1"/>
  <dimension ref="A1:R26"/>
  <sheetViews>
    <sheetView tabSelected="1" workbookViewId="0">
      <selection activeCell="C2" sqref="C2"/>
    </sheetView>
  </sheetViews>
  <sheetFormatPr defaultRowHeight="14.25"/>
  <cols>
    <col min="1" max="1" width="24.25" style="33" bestFit="1" customWidth="1"/>
    <col min="2" max="2" width="18.25" style="33" customWidth="1"/>
    <col min="3" max="3" width="17.125" style="33" bestFit="1" customWidth="1"/>
    <col min="4" max="4" width="10.875" style="33" bestFit="1" customWidth="1"/>
    <col min="5" max="5" width="9.5" style="33" bestFit="1" customWidth="1"/>
    <col min="6" max="6" width="7.375" style="33" bestFit="1" customWidth="1"/>
    <col min="7" max="7" width="10" style="33" bestFit="1" customWidth="1"/>
    <col min="8" max="8" width="17.5" style="33" bestFit="1" customWidth="1"/>
    <col min="9" max="9" width="11.5" style="33" bestFit="1" customWidth="1"/>
    <col min="10" max="10" width="9.875" style="33" bestFit="1" customWidth="1"/>
    <col min="11" max="11" width="10.375" style="33" bestFit="1" customWidth="1"/>
    <col min="12" max="12" width="7.75" style="33" bestFit="1" customWidth="1"/>
    <col min="13" max="13" width="11.75" style="33" bestFit="1" customWidth="1"/>
    <col min="14" max="14" width="10.125" style="33" bestFit="1" customWidth="1"/>
    <col min="15" max="15" width="7.875" style="33" bestFit="1" customWidth="1"/>
    <col min="16" max="16" width="10.5" style="33" bestFit="1" customWidth="1"/>
    <col min="17" max="17" width="11.75" style="33" bestFit="1" customWidth="1"/>
    <col min="18" max="18" width="10" style="33" bestFit="1" customWidth="1"/>
    <col min="19" max="16384" width="9" style="33"/>
  </cols>
  <sheetData>
    <row r="1" spans="1:18" ht="24.95" customHeight="1">
      <c r="A1" s="12" t="s">
        <v>26</v>
      </c>
      <c r="B1" s="1" t="s">
        <v>45</v>
      </c>
      <c r="D1" s="1" t="s">
        <v>46</v>
      </c>
      <c r="E1" s="50">
        <v>7</v>
      </c>
      <c r="F1" s="1"/>
    </row>
    <row r="2" spans="1:18" ht="24.95" customHeight="1">
      <c r="A2" s="9" t="s">
        <v>7</v>
      </c>
      <c r="B2" s="9" t="s">
        <v>12</v>
      </c>
      <c r="C2" s="51">
        <f ca="1">LOOKUP(9.99999999999999E+307,CHOOSE({1,2},0,SUM(OFFSET(INDIRECT("'"&amp;TEXT(MATCH(C$2,$C$2:$R$2,0),"00")&amp;"'!C"&amp;ROW()),0,$D$1-1,1,$F$1))))</f>
        <v>0</v>
      </c>
      <c r="D2" s="51">
        <f ca="1">LOOKUP(9.99999999999999E+307,CHOOSE({1,2},0,SUM(OFFSET(INDIRECT("'"&amp;TEXT(MATCH(D$2,$C$2:$R$2,0),"00")&amp;"'!C"&amp;ROW()),0,$D$1-1,1,$F$1))))</f>
        <v>0</v>
      </c>
      <c r="E2" s="51">
        <f ca="1">LOOKUP(9.99999999999999E+307,CHOOSE({1,2},0,SUM(OFFSET(INDIRECT("'"&amp;TEXT(MATCH(E$2,$C$2:$R$2,0),"00")&amp;"'!C"&amp;ROW()),0,$D$1-1,1,$F$1))))</f>
        <v>0</v>
      </c>
      <c r="F2" s="51">
        <f ca="1">LOOKUP(9.99999999999999E+307,CHOOSE({1,2},0,SUM(OFFSET(INDIRECT("'"&amp;TEXT(MATCH(F$2,$C$2:$R$2,0),"00")&amp;"'!C"&amp;ROW()),0,$D$1-1,1,$F$1))))</f>
        <v>0</v>
      </c>
      <c r="G2" s="51">
        <f ca="1">LOOKUP(9.99999999999999E+307,CHOOSE({1,2},0,SUM(OFFSET(INDIRECT("'"&amp;TEXT(MATCH(G$2,$C$2:$R$2,0),"00")&amp;"'!C"&amp;ROW()),0,$D$1-1,1,$F$1))))</f>
        <v>0</v>
      </c>
      <c r="H2" s="51">
        <f ca="1">LOOKUP(9.99999999999999E+307,CHOOSE({1,2},0,SUM(OFFSET(INDIRECT("'"&amp;TEXT(MATCH(H$2,$C$2:$R$2,0),"00")&amp;"'!C"&amp;ROW()),0,$D$1-1,1,$F$1))))</f>
        <v>0</v>
      </c>
      <c r="I2" s="51">
        <f ca="1">LOOKUP(9.99999999999999E+307,CHOOSE({1,2},0,SUM(OFFSET(INDIRECT("'"&amp;TEXT(MATCH(I$2,$C$2:$R$2,0),"00")&amp;"'!C"&amp;ROW()),0,$D$1-1,1,$F$1))))</f>
        <v>0</v>
      </c>
      <c r="J2" s="51">
        <f ca="1">LOOKUP(9.99999999999999E+307,CHOOSE({1,2},0,SUM(OFFSET(INDIRECT("'"&amp;TEXT(MATCH(J$2,$C$2:$R$2,0),"00")&amp;"'!C"&amp;ROW()),0,$D$1-1,1,$F$1))))</f>
        <v>0</v>
      </c>
      <c r="K2" s="51">
        <f ca="1">LOOKUP(9.99999999999999E+307,CHOOSE({1,2},0,SUM(OFFSET(INDIRECT("'"&amp;TEXT(MATCH(K$2,$C$2:$R$2,0),"00")&amp;"'!C"&amp;ROW()),0,$D$1-1,1,$F$1))))</f>
        <v>0</v>
      </c>
      <c r="L2" s="51">
        <f ca="1">LOOKUP(9.99999999999999E+307,CHOOSE({1,2},0,SUM(OFFSET(INDIRECT("'"&amp;TEXT(MATCH(L$2,$C$2:$R$2,0),"00")&amp;"'!C"&amp;ROW()),0,$D$1-1,1,$F$1))))</f>
        <v>0</v>
      </c>
      <c r="M2" s="51">
        <f ca="1">LOOKUP(9.99999999999999E+307,CHOOSE({1,2},0,SUM(OFFSET(INDIRECT("'"&amp;TEXT(MATCH(M$2,$C$2:$R$2,0),"00")&amp;"'!C"&amp;ROW()),0,$D$1-1,1,$F$1))))</f>
        <v>0</v>
      </c>
      <c r="N2" s="51">
        <f ca="1">LOOKUP(9.99999999999999E+307,CHOOSE({1,2},0,SUM(OFFSET(INDIRECT("'"&amp;TEXT(MATCH(N$2,$C$2:$R$2,0),"00")&amp;"'!C"&amp;ROW()),0,$D$1-1,1,$F$1))))</f>
        <v>0</v>
      </c>
      <c r="O2" s="51">
        <f ca="1">LOOKUP(9.99999999999999E+307,CHOOSE({1,2},0,SUM(OFFSET(INDIRECT("'"&amp;TEXT(MATCH(O$2,$C$2:$R$2,0),"00")&amp;"'!C"&amp;ROW()),0,$D$1-1,1,$F$1))))</f>
        <v>0</v>
      </c>
      <c r="P2" s="51">
        <f ca="1">LOOKUP(9.99999999999999E+307,CHOOSE({1,2},0,SUM(OFFSET(INDIRECT("'"&amp;TEXT(MATCH(P$2,$C$2:$R$2,0),"00")&amp;"'!C"&amp;ROW()),0,$D$1-1,1,$F$1))))</f>
        <v>0</v>
      </c>
      <c r="Q2" s="51">
        <f ca="1">LOOKUP(9.99999999999999E+307,CHOOSE({1,2},0,SUM(OFFSET(INDIRECT("'"&amp;TEXT(MATCH(Q$2,$C$2:$R$2,0),"00")&amp;"'!C"&amp;ROW()),0,$D$1-1,1,$F$1))))</f>
        <v>0</v>
      </c>
      <c r="R2" s="51">
        <f ca="1">LOOKUP(9.99999999999999E+307,CHOOSE({1,2},0,SUM(OFFSET(INDIRECT("'"&amp;TEXT(MATCH(R$2,$C$2:$R$2,0),"00")&amp;"'!C"&amp;ROW()),0,$D$1-1,1,$F$1))))</f>
        <v>0</v>
      </c>
    </row>
    <row r="3" spans="1:18">
      <c r="A3" s="4" t="s">
        <v>0</v>
      </c>
      <c r="B3" s="27">
        <f ca="1">SUM(C3:R3)</f>
        <v>1071</v>
      </c>
      <c r="C3" s="51">
        <f ca="1">LOOKUP(9.99999999999999E+307,CHOOSE({1,2},0,SUM(OFFSET(INDIRECT("'"&amp;TEXT(MATCH(C$2,$C$2:$R$2,0),"00")&amp;"'!C"&amp;ROW()),0,$D$1-1,1,$F$1))))</f>
        <v>0</v>
      </c>
      <c r="D3" s="51">
        <f ca="1">LOOKUP(9.99999999999999E+307,CHOOSE({1,2},0,SUM(OFFSET(INDIRECT("'"&amp;TEXT(MATCH(D$2,$C$2:$R$2,0),"00")&amp;"'!C"&amp;ROW()),0,$D$1-1,1,$F$1))))</f>
        <v>0</v>
      </c>
      <c r="E3" s="51">
        <f ca="1">LOOKUP(9.99999999999999E+307,CHOOSE({1,2},0,SUM(OFFSET(INDIRECT("'"&amp;TEXT(MATCH(E$2,$C$2:$R$2,0),"00")&amp;"'!C"&amp;ROW()),0,$D$1-1,1,$F$1))))</f>
        <v>0</v>
      </c>
      <c r="F3" s="51">
        <f ca="1">LOOKUP(9.99999999999999E+307,CHOOSE({1,2},0,SUM(OFFSET(INDIRECT("'"&amp;TEXT(MATCH(F$2,$C$2:$R$2,0),"00")&amp;"'!C"&amp;ROW()),0,$D$1-1,1,$F$1))))</f>
        <v>0</v>
      </c>
      <c r="G3" s="51">
        <f ca="1">LOOKUP(9.99999999999999E+307,CHOOSE({1,2},0,SUM(OFFSET(INDIRECT("'"&amp;TEXT(MATCH(G$2,$C$2:$R$2,0),"00")&amp;"'!C"&amp;ROW()),0,$D$1-1,1,$F$1))))</f>
        <v>0</v>
      </c>
      <c r="H3" s="51">
        <f ca="1">LOOKUP(9.99999999999999E+307,CHOOSE({1,2},0,SUM(OFFSET(INDIRECT("'"&amp;TEXT(MATCH(H$2,$C$2:$R$2,0),"00")&amp;"'!C"&amp;ROW()),0,$D$1-1,1,$F$1))))</f>
        <v>0</v>
      </c>
      <c r="I3" s="51">
        <f ca="1">LOOKUP(9.99999999999999E+307,CHOOSE({1,2},0,SUM(OFFSET(INDIRECT("'"&amp;TEXT(MATCH(I$2,$C$2:$R$2,0),"00")&amp;"'!C"&amp;ROW()),0,$D$1-1,1,$F$1))))</f>
        <v>0</v>
      </c>
      <c r="J3" s="51">
        <f ca="1">LOOKUP(9.99999999999999E+307,CHOOSE({1,2},0,SUM(OFFSET(INDIRECT("'"&amp;TEXT(MATCH(J$2,$C$2:$R$2,0),"00")&amp;"'!C"&amp;ROW()),0,$D$1-1,1,$F$1))))</f>
        <v>0</v>
      </c>
      <c r="K3" s="51">
        <f ca="1">LOOKUP(9.99999999999999E+307,CHOOSE({1,2},0,SUM(OFFSET(INDIRECT("'"&amp;TEXT(MATCH(K$2,$C$2:$R$2,0),"00")&amp;"'!C"&amp;ROW()),0,$D$1-1,1,$F$1))))</f>
        <v>0</v>
      </c>
      <c r="L3" s="51">
        <f ca="1">LOOKUP(9.99999999999999E+307,CHOOSE({1,2},0,SUM(OFFSET(INDIRECT("'"&amp;TEXT(MATCH(L$2,$C$2:$R$2,0),"00")&amp;"'!C"&amp;ROW()),0,$D$1-1,1,$F$1))))</f>
        <v>0</v>
      </c>
      <c r="M3" s="51">
        <f ca="1">LOOKUP(9.99999999999999E+307,CHOOSE({1,2},0,SUM(OFFSET(INDIRECT("'"&amp;TEXT(MATCH(M$2,$C$2:$R$2,0),"00")&amp;"'!C"&amp;ROW()),0,$D$1-1,1,$F$1))))</f>
        <v>0</v>
      </c>
      <c r="N3" s="51">
        <f ca="1">LOOKUP(9.99999999999999E+307,CHOOSE({1,2},0,SUM(OFFSET(INDIRECT("'"&amp;TEXT(MATCH(N$2,$C$2:$R$2,0),"00")&amp;"'!C"&amp;ROW()),0,$D$1-1,1,$F$1))))</f>
        <v>0</v>
      </c>
      <c r="O3" s="51">
        <f ca="1">LOOKUP(9.99999999999999E+307,CHOOSE({1,2},0,SUM(OFFSET(INDIRECT("'"&amp;TEXT(MATCH(O$2,$C$2:$R$2,0),"00")&amp;"'!C"&amp;ROW()),0,$D$1-1,1,$F$1))))</f>
        <v>0</v>
      </c>
      <c r="P3" s="51">
        <f ca="1">LOOKUP(9.99999999999999E+307,CHOOSE({1,2},0,SUM(OFFSET(INDIRECT("'"&amp;TEXT(MATCH(P$2,$C$2:$R$2,0),"00")&amp;"'!C"&amp;ROW()),0,$D$1-1,1,$F$1))))</f>
        <v>0</v>
      </c>
      <c r="Q3" s="51">
        <f ca="1">LOOKUP(9.99999999999999E+307,CHOOSE({1,2},0,SUM(OFFSET(INDIRECT("'"&amp;TEXT(MATCH(Q$2,$C$2:$R$2,0),"00")&amp;"'!C"&amp;ROW()),0,$D$1-1,1,$F$1))))</f>
        <v>0</v>
      </c>
      <c r="R3" s="51">
        <f ca="1">LOOKUP(9.99999999999999E+307,CHOOSE({1,2},0,SUM(OFFSET(INDIRECT("'"&amp;TEXT(MATCH(R$2,$C$2:$R$2,0),"00")&amp;"'!C"&amp;ROW()),0,$D$1-1,1,$F$1))))</f>
        <v>0</v>
      </c>
    </row>
    <row r="4" spans="1:18">
      <c r="A4" s="31" t="s">
        <v>1</v>
      </c>
      <c r="B4" s="14">
        <f ca="1">SUM(C4:R4)</f>
        <v>2</v>
      </c>
      <c r="C4" s="51">
        <f ca="1">LOOKUP(9.99999999999999E+307,CHOOSE({1,2},0,SUM(OFFSET(INDIRECT("'"&amp;TEXT(MATCH(C$2,$C$2:$R$2,0),"00")&amp;"'!C"&amp;ROW()),0,$D$1-1,1,$F$1))))</f>
        <v>0</v>
      </c>
      <c r="D4" s="51">
        <f ca="1">LOOKUP(9.99999999999999E+307,CHOOSE({1,2},0,SUM(OFFSET(INDIRECT("'"&amp;TEXT(MATCH(D$2,$C$2:$R$2,0),"00")&amp;"'!C"&amp;ROW()),0,$D$1-1,1,$F$1))))</f>
        <v>0</v>
      </c>
      <c r="E4" s="51">
        <f ca="1">LOOKUP(9.99999999999999E+307,CHOOSE({1,2},0,SUM(OFFSET(INDIRECT("'"&amp;TEXT(MATCH(E$2,$C$2:$R$2,0),"00")&amp;"'!C"&amp;ROW()),0,$D$1-1,1,$F$1))))</f>
        <v>0</v>
      </c>
      <c r="F4" s="51">
        <f ca="1">LOOKUP(9.99999999999999E+307,CHOOSE({1,2},0,SUM(OFFSET(INDIRECT("'"&amp;TEXT(MATCH(F$2,$C$2:$R$2,0),"00")&amp;"'!C"&amp;ROW()),0,$D$1-1,1,$F$1))))</f>
        <v>0</v>
      </c>
      <c r="G4" s="51">
        <f ca="1">LOOKUP(9.99999999999999E+307,CHOOSE({1,2},0,SUM(OFFSET(INDIRECT("'"&amp;TEXT(MATCH(G$2,$C$2:$R$2,0),"00")&amp;"'!C"&amp;ROW()),0,$D$1-1,1,$F$1))))</f>
        <v>0</v>
      </c>
      <c r="H4" s="51">
        <f ca="1">LOOKUP(9.99999999999999E+307,CHOOSE({1,2},0,SUM(OFFSET(INDIRECT("'"&amp;TEXT(MATCH(H$2,$C$2:$R$2,0),"00")&amp;"'!C"&amp;ROW()),0,$D$1-1,1,$F$1))))</f>
        <v>0</v>
      </c>
      <c r="I4" s="51">
        <f ca="1">LOOKUP(9.99999999999999E+307,CHOOSE({1,2},0,SUM(OFFSET(INDIRECT("'"&amp;TEXT(MATCH(I$2,$C$2:$R$2,0),"00")&amp;"'!C"&amp;ROW()),0,$D$1-1,1,$F$1))))</f>
        <v>0</v>
      </c>
      <c r="J4" s="51">
        <f ca="1">LOOKUP(9.99999999999999E+307,CHOOSE({1,2},0,SUM(OFFSET(INDIRECT("'"&amp;TEXT(MATCH(J$2,$C$2:$R$2,0),"00")&amp;"'!C"&amp;ROW()),0,$D$1-1,1,$F$1))))</f>
        <v>0</v>
      </c>
      <c r="K4" s="51">
        <f ca="1">LOOKUP(9.99999999999999E+307,CHOOSE({1,2},0,SUM(OFFSET(INDIRECT("'"&amp;TEXT(MATCH(K$2,$C$2:$R$2,0),"00")&amp;"'!C"&amp;ROW()),0,$D$1-1,1,$F$1))))</f>
        <v>0</v>
      </c>
      <c r="L4" s="51">
        <f ca="1">LOOKUP(9.99999999999999E+307,CHOOSE({1,2},0,SUM(OFFSET(INDIRECT("'"&amp;TEXT(MATCH(L$2,$C$2:$R$2,0),"00")&amp;"'!C"&amp;ROW()),0,$D$1-1,1,$F$1))))</f>
        <v>0</v>
      </c>
      <c r="M4" s="51">
        <f ca="1">LOOKUP(9.99999999999999E+307,CHOOSE({1,2},0,SUM(OFFSET(INDIRECT("'"&amp;TEXT(MATCH(M$2,$C$2:$R$2,0),"00")&amp;"'!C"&amp;ROW()),0,$D$1-1,1,$F$1))))</f>
        <v>0</v>
      </c>
      <c r="N4" s="51">
        <f ca="1">LOOKUP(9.99999999999999E+307,CHOOSE({1,2},0,SUM(OFFSET(INDIRECT("'"&amp;TEXT(MATCH(N$2,$C$2:$R$2,0),"00")&amp;"'!C"&amp;ROW()),0,$D$1-1,1,$F$1))))</f>
        <v>0</v>
      </c>
      <c r="O4" s="51">
        <f ca="1">LOOKUP(9.99999999999999E+307,CHOOSE({1,2},0,SUM(OFFSET(INDIRECT("'"&amp;TEXT(MATCH(O$2,$C$2:$R$2,0),"00")&amp;"'!C"&amp;ROW()),0,$D$1-1,1,$F$1))))</f>
        <v>0</v>
      </c>
      <c r="P4" s="51">
        <f ca="1">LOOKUP(9.99999999999999E+307,CHOOSE({1,2},0,SUM(OFFSET(INDIRECT("'"&amp;TEXT(MATCH(P$2,$C$2:$R$2,0),"00")&amp;"'!C"&amp;ROW()),0,$D$1-1,1,$F$1))))</f>
        <v>0</v>
      </c>
      <c r="Q4" s="51">
        <f ca="1">LOOKUP(9.99999999999999E+307,CHOOSE({1,2},0,SUM(OFFSET(INDIRECT("'"&amp;TEXT(MATCH(Q$2,$C$2:$R$2,0),"00")&amp;"'!C"&amp;ROW()),0,$D$1-1,1,$F$1))))</f>
        <v>0</v>
      </c>
      <c r="R4" s="51">
        <f ca="1">LOOKUP(9.99999999999999E+307,CHOOSE({1,2},0,SUM(OFFSET(INDIRECT("'"&amp;TEXT(MATCH(R$2,$C$2:$R$2,0),"00")&amp;"'!C"&amp;ROW()),0,$D$1-1,1,$F$1))))</f>
        <v>0</v>
      </c>
    </row>
    <row r="5" spans="1:18">
      <c r="A5" s="4" t="s">
        <v>2</v>
      </c>
      <c r="B5" s="5">
        <f ca="1">+B3-B4</f>
        <v>1069</v>
      </c>
      <c r="C5" s="51">
        <f ca="1">LOOKUP(9.99999999999999E+307,CHOOSE({1,2},0,SUM(OFFSET(INDIRECT("'"&amp;TEXT(MATCH(C$2,$C$2:$R$2,0),"00")&amp;"'!C"&amp;ROW()),0,$D$1-1,1,$F$1))))</f>
        <v>0</v>
      </c>
      <c r="D5" s="51">
        <f ca="1">LOOKUP(9.99999999999999E+307,CHOOSE({1,2},0,SUM(OFFSET(INDIRECT("'"&amp;TEXT(MATCH(D$2,$C$2:$R$2,0),"00")&amp;"'!C"&amp;ROW()),0,$D$1-1,1,$F$1))))</f>
        <v>0</v>
      </c>
      <c r="E5" s="51">
        <f ca="1">LOOKUP(9.99999999999999E+307,CHOOSE({1,2},0,SUM(OFFSET(INDIRECT("'"&amp;TEXT(MATCH(E$2,$C$2:$R$2,0),"00")&amp;"'!C"&amp;ROW()),0,$D$1-1,1,$F$1))))</f>
        <v>0</v>
      </c>
      <c r="F5" s="51">
        <f ca="1">LOOKUP(9.99999999999999E+307,CHOOSE({1,2},0,SUM(OFFSET(INDIRECT("'"&amp;TEXT(MATCH(F$2,$C$2:$R$2,0),"00")&amp;"'!C"&amp;ROW()),0,$D$1-1,1,$F$1))))</f>
        <v>0</v>
      </c>
      <c r="G5" s="51">
        <f ca="1">LOOKUP(9.99999999999999E+307,CHOOSE({1,2},0,SUM(OFFSET(INDIRECT("'"&amp;TEXT(MATCH(G$2,$C$2:$R$2,0),"00")&amp;"'!C"&amp;ROW()),0,$D$1-1,1,$F$1))))</f>
        <v>0</v>
      </c>
      <c r="H5" s="51">
        <f ca="1">LOOKUP(9.99999999999999E+307,CHOOSE({1,2},0,SUM(OFFSET(INDIRECT("'"&amp;TEXT(MATCH(H$2,$C$2:$R$2,0),"00")&amp;"'!C"&amp;ROW()),0,$D$1-1,1,$F$1))))</f>
        <v>0</v>
      </c>
      <c r="I5" s="51">
        <f ca="1">LOOKUP(9.99999999999999E+307,CHOOSE({1,2},0,SUM(OFFSET(INDIRECT("'"&amp;TEXT(MATCH(I$2,$C$2:$R$2,0),"00")&amp;"'!C"&amp;ROW()),0,$D$1-1,1,$F$1))))</f>
        <v>0</v>
      </c>
      <c r="J5" s="51">
        <f ca="1">LOOKUP(9.99999999999999E+307,CHOOSE({1,2},0,SUM(OFFSET(INDIRECT("'"&amp;TEXT(MATCH(J$2,$C$2:$R$2,0),"00")&amp;"'!C"&amp;ROW()),0,$D$1-1,1,$F$1))))</f>
        <v>0</v>
      </c>
      <c r="K5" s="51">
        <f ca="1">LOOKUP(9.99999999999999E+307,CHOOSE({1,2},0,SUM(OFFSET(INDIRECT("'"&amp;TEXT(MATCH(K$2,$C$2:$R$2,0),"00")&amp;"'!C"&amp;ROW()),0,$D$1-1,1,$F$1))))</f>
        <v>0</v>
      </c>
      <c r="L5" s="51">
        <f ca="1">LOOKUP(9.99999999999999E+307,CHOOSE({1,2},0,SUM(OFFSET(INDIRECT("'"&amp;TEXT(MATCH(L$2,$C$2:$R$2,0),"00")&amp;"'!C"&amp;ROW()),0,$D$1-1,1,$F$1))))</f>
        <v>0</v>
      </c>
      <c r="M5" s="51">
        <f ca="1">LOOKUP(9.99999999999999E+307,CHOOSE({1,2},0,SUM(OFFSET(INDIRECT("'"&amp;TEXT(MATCH(M$2,$C$2:$R$2,0),"00")&amp;"'!C"&amp;ROW()),0,$D$1-1,1,$F$1))))</f>
        <v>0</v>
      </c>
      <c r="N5" s="51">
        <f ca="1">LOOKUP(9.99999999999999E+307,CHOOSE({1,2},0,SUM(OFFSET(INDIRECT("'"&amp;TEXT(MATCH(N$2,$C$2:$R$2,0),"00")&amp;"'!C"&amp;ROW()),0,$D$1-1,1,$F$1))))</f>
        <v>0</v>
      </c>
      <c r="O5" s="51">
        <f ca="1">LOOKUP(9.99999999999999E+307,CHOOSE({1,2},0,SUM(OFFSET(INDIRECT("'"&amp;TEXT(MATCH(O$2,$C$2:$R$2,0),"00")&amp;"'!C"&amp;ROW()),0,$D$1-1,1,$F$1))))</f>
        <v>0</v>
      </c>
      <c r="P5" s="51">
        <f ca="1">LOOKUP(9.99999999999999E+307,CHOOSE({1,2},0,SUM(OFFSET(INDIRECT("'"&amp;TEXT(MATCH(P$2,$C$2:$R$2,0),"00")&amp;"'!C"&amp;ROW()),0,$D$1-1,1,$F$1))))</f>
        <v>0</v>
      </c>
      <c r="Q5" s="51">
        <f ca="1">LOOKUP(9.99999999999999E+307,CHOOSE({1,2},0,SUM(OFFSET(INDIRECT("'"&amp;TEXT(MATCH(Q$2,$C$2:$R$2,0),"00")&amp;"'!C"&amp;ROW()),0,$D$1-1,1,$F$1))))</f>
        <v>0</v>
      </c>
      <c r="R5" s="51">
        <f ca="1">LOOKUP(9.99999999999999E+307,CHOOSE({1,2},0,SUM(OFFSET(INDIRECT("'"&amp;TEXT(MATCH(R$2,$C$2:$R$2,0),"00")&amp;"'!C"&amp;ROW()),0,$D$1-1,1,$F$1))))</f>
        <v>0</v>
      </c>
    </row>
    <row r="6" spans="1:18">
      <c r="A6" s="26" t="s">
        <v>3</v>
      </c>
      <c r="B6" s="34">
        <f ca="1">SUM(C6:R6)</f>
        <v>936</v>
      </c>
      <c r="C6" s="51">
        <f ca="1">LOOKUP(9.99999999999999E+307,CHOOSE({1,2},0,SUM(OFFSET(INDIRECT("'"&amp;TEXT(MATCH(C$2,$C$2:$R$2,0),"00")&amp;"'!C"&amp;ROW()),0,$D$1-1,1,$F$1))))</f>
        <v>0</v>
      </c>
      <c r="D6" s="51">
        <f ca="1">LOOKUP(9.99999999999999E+307,CHOOSE({1,2},0,SUM(OFFSET(INDIRECT("'"&amp;TEXT(MATCH(D$2,$C$2:$R$2,0),"00")&amp;"'!C"&amp;ROW()),0,$D$1-1,1,$F$1))))</f>
        <v>0</v>
      </c>
      <c r="E6" s="51">
        <f ca="1">LOOKUP(9.99999999999999E+307,CHOOSE({1,2},0,SUM(OFFSET(INDIRECT("'"&amp;TEXT(MATCH(E$2,$C$2:$R$2,0),"00")&amp;"'!C"&amp;ROW()),0,$D$1-1,1,$F$1))))</f>
        <v>0</v>
      </c>
      <c r="F6" s="51">
        <f ca="1">LOOKUP(9.99999999999999E+307,CHOOSE({1,2},0,SUM(OFFSET(INDIRECT("'"&amp;TEXT(MATCH(F$2,$C$2:$R$2,0),"00")&amp;"'!C"&amp;ROW()),0,$D$1-1,1,$F$1))))</f>
        <v>0</v>
      </c>
      <c r="G6" s="51">
        <f ca="1">LOOKUP(9.99999999999999E+307,CHOOSE({1,2},0,SUM(OFFSET(INDIRECT("'"&amp;TEXT(MATCH(G$2,$C$2:$R$2,0),"00")&amp;"'!C"&amp;ROW()),0,$D$1-1,1,$F$1))))</f>
        <v>0</v>
      </c>
      <c r="H6" s="51">
        <f ca="1">LOOKUP(9.99999999999999E+307,CHOOSE({1,2},0,SUM(OFFSET(INDIRECT("'"&amp;TEXT(MATCH(H$2,$C$2:$R$2,0),"00")&amp;"'!C"&amp;ROW()),0,$D$1-1,1,$F$1))))</f>
        <v>0</v>
      </c>
      <c r="I6" s="51">
        <f ca="1">LOOKUP(9.99999999999999E+307,CHOOSE({1,2},0,SUM(OFFSET(INDIRECT("'"&amp;TEXT(MATCH(I$2,$C$2:$R$2,0),"00")&amp;"'!C"&amp;ROW()),0,$D$1-1,1,$F$1))))</f>
        <v>0</v>
      </c>
      <c r="J6" s="51">
        <f ca="1">LOOKUP(9.99999999999999E+307,CHOOSE({1,2},0,SUM(OFFSET(INDIRECT("'"&amp;TEXT(MATCH(J$2,$C$2:$R$2,0),"00")&amp;"'!C"&amp;ROW()),0,$D$1-1,1,$F$1))))</f>
        <v>0</v>
      </c>
      <c r="K6" s="51">
        <f ca="1">LOOKUP(9.99999999999999E+307,CHOOSE({1,2},0,SUM(OFFSET(INDIRECT("'"&amp;TEXT(MATCH(K$2,$C$2:$R$2,0),"00")&amp;"'!C"&amp;ROW()),0,$D$1-1,1,$F$1))))</f>
        <v>0</v>
      </c>
      <c r="L6" s="51">
        <f ca="1">LOOKUP(9.99999999999999E+307,CHOOSE({1,2},0,SUM(OFFSET(INDIRECT("'"&amp;TEXT(MATCH(L$2,$C$2:$R$2,0),"00")&amp;"'!C"&amp;ROW()),0,$D$1-1,1,$F$1))))</f>
        <v>0</v>
      </c>
      <c r="M6" s="51">
        <f ca="1">LOOKUP(9.99999999999999E+307,CHOOSE({1,2},0,SUM(OFFSET(INDIRECT("'"&amp;TEXT(MATCH(M$2,$C$2:$R$2,0),"00")&amp;"'!C"&amp;ROW()),0,$D$1-1,1,$F$1))))</f>
        <v>0</v>
      </c>
      <c r="N6" s="51">
        <f ca="1">LOOKUP(9.99999999999999E+307,CHOOSE({1,2},0,SUM(OFFSET(INDIRECT("'"&amp;TEXT(MATCH(N$2,$C$2:$R$2,0),"00")&amp;"'!C"&amp;ROW()),0,$D$1-1,1,$F$1))))</f>
        <v>0</v>
      </c>
      <c r="O6" s="51">
        <f ca="1">LOOKUP(9.99999999999999E+307,CHOOSE({1,2},0,SUM(OFFSET(INDIRECT("'"&amp;TEXT(MATCH(O$2,$C$2:$R$2,0),"00")&amp;"'!C"&amp;ROW()),0,$D$1-1,1,$F$1))))</f>
        <v>0</v>
      </c>
      <c r="P6" s="51">
        <f ca="1">LOOKUP(9.99999999999999E+307,CHOOSE({1,2},0,SUM(OFFSET(INDIRECT("'"&amp;TEXT(MATCH(P$2,$C$2:$R$2,0),"00")&amp;"'!C"&amp;ROW()),0,$D$1-1,1,$F$1))))</f>
        <v>0</v>
      </c>
      <c r="Q6" s="51">
        <f ca="1">LOOKUP(9.99999999999999E+307,CHOOSE({1,2},0,SUM(OFFSET(INDIRECT("'"&amp;TEXT(MATCH(Q$2,$C$2:$R$2,0),"00")&amp;"'!C"&amp;ROW()),0,$D$1-1,1,$F$1))))</f>
        <v>0</v>
      </c>
      <c r="R6" s="51">
        <f ca="1">LOOKUP(9.99999999999999E+307,CHOOSE({1,2},0,SUM(OFFSET(INDIRECT("'"&amp;TEXT(MATCH(R$2,$C$2:$R$2,0),"00")&amp;"'!C"&amp;ROW()),0,$D$1-1,1,$F$1))))</f>
        <v>0</v>
      </c>
    </row>
    <row r="7" spans="1:18">
      <c r="A7" s="4" t="s">
        <v>4</v>
      </c>
      <c r="B7" s="7">
        <f ca="1">IF(B6=0,0,B6/B5)</f>
        <v>0.87558465855940126</v>
      </c>
      <c r="C7" s="51">
        <f ca="1">LOOKUP(9.99999999999999E+307,CHOOSE({1,2},0,SUM(OFFSET(INDIRECT("'"&amp;TEXT(MATCH(C$2,$C$2:$R$2,0),"00")&amp;"'!C"&amp;ROW()),0,$D$1-1,1,$F$1))))</f>
        <v>0</v>
      </c>
      <c r="D7" s="51">
        <f ca="1">LOOKUP(9.99999999999999E+307,CHOOSE({1,2},0,SUM(OFFSET(INDIRECT("'"&amp;TEXT(MATCH(D$2,$C$2:$R$2,0),"00")&amp;"'!C"&amp;ROW()),0,$D$1-1,1,$F$1))))</f>
        <v>0</v>
      </c>
      <c r="E7" s="51">
        <f ca="1">LOOKUP(9.99999999999999E+307,CHOOSE({1,2},0,SUM(OFFSET(INDIRECT("'"&amp;TEXT(MATCH(E$2,$C$2:$R$2,0),"00")&amp;"'!C"&amp;ROW()),0,$D$1-1,1,$F$1))))</f>
        <v>0</v>
      </c>
      <c r="F7" s="51">
        <f ca="1">LOOKUP(9.99999999999999E+307,CHOOSE({1,2},0,SUM(OFFSET(INDIRECT("'"&amp;TEXT(MATCH(F$2,$C$2:$R$2,0),"00")&amp;"'!C"&amp;ROW()),0,$D$1-1,1,$F$1))))</f>
        <v>0</v>
      </c>
      <c r="G7" s="51">
        <f ca="1">LOOKUP(9.99999999999999E+307,CHOOSE({1,2},0,SUM(OFFSET(INDIRECT("'"&amp;TEXT(MATCH(G$2,$C$2:$R$2,0),"00")&amp;"'!C"&amp;ROW()),0,$D$1-1,1,$F$1))))</f>
        <v>0</v>
      </c>
      <c r="H7" s="51">
        <f ca="1">LOOKUP(9.99999999999999E+307,CHOOSE({1,2},0,SUM(OFFSET(INDIRECT("'"&amp;TEXT(MATCH(H$2,$C$2:$R$2,0),"00")&amp;"'!C"&amp;ROW()),0,$D$1-1,1,$F$1))))</f>
        <v>0</v>
      </c>
      <c r="I7" s="51">
        <f ca="1">LOOKUP(9.99999999999999E+307,CHOOSE({1,2},0,SUM(OFFSET(INDIRECT("'"&amp;TEXT(MATCH(I$2,$C$2:$R$2,0),"00")&amp;"'!C"&amp;ROW()),0,$D$1-1,1,$F$1))))</f>
        <v>0</v>
      </c>
      <c r="J7" s="51">
        <f ca="1">LOOKUP(9.99999999999999E+307,CHOOSE({1,2},0,SUM(OFFSET(INDIRECT("'"&amp;TEXT(MATCH(J$2,$C$2:$R$2,0),"00")&amp;"'!C"&amp;ROW()),0,$D$1-1,1,$F$1))))</f>
        <v>0</v>
      </c>
      <c r="K7" s="51">
        <f ca="1">LOOKUP(9.99999999999999E+307,CHOOSE({1,2},0,SUM(OFFSET(INDIRECT("'"&amp;TEXT(MATCH(K$2,$C$2:$R$2,0),"00")&amp;"'!C"&amp;ROW()),0,$D$1-1,1,$F$1))))</f>
        <v>0</v>
      </c>
      <c r="L7" s="51">
        <f ca="1">LOOKUP(9.99999999999999E+307,CHOOSE({1,2},0,SUM(OFFSET(INDIRECT("'"&amp;TEXT(MATCH(L$2,$C$2:$R$2,0),"00")&amp;"'!C"&amp;ROW()),0,$D$1-1,1,$F$1))))</f>
        <v>0</v>
      </c>
      <c r="M7" s="51">
        <f ca="1">LOOKUP(9.99999999999999E+307,CHOOSE({1,2},0,SUM(OFFSET(INDIRECT("'"&amp;TEXT(MATCH(M$2,$C$2:$R$2,0),"00")&amp;"'!C"&amp;ROW()),0,$D$1-1,1,$F$1))))</f>
        <v>0</v>
      </c>
      <c r="N7" s="51">
        <f ca="1">LOOKUP(9.99999999999999E+307,CHOOSE({1,2},0,SUM(OFFSET(INDIRECT("'"&amp;TEXT(MATCH(N$2,$C$2:$R$2,0),"00")&amp;"'!C"&amp;ROW()),0,$D$1-1,1,$F$1))))</f>
        <v>0</v>
      </c>
      <c r="O7" s="51">
        <f ca="1">LOOKUP(9.99999999999999E+307,CHOOSE({1,2},0,SUM(OFFSET(INDIRECT("'"&amp;TEXT(MATCH(O$2,$C$2:$R$2,0),"00")&amp;"'!C"&amp;ROW()),0,$D$1-1,1,$F$1))))</f>
        <v>0</v>
      </c>
      <c r="P7" s="51">
        <f ca="1">LOOKUP(9.99999999999999E+307,CHOOSE({1,2},0,SUM(OFFSET(INDIRECT("'"&amp;TEXT(MATCH(P$2,$C$2:$R$2,0),"00")&amp;"'!C"&amp;ROW()),0,$D$1-1,1,$F$1))))</f>
        <v>0</v>
      </c>
      <c r="Q7" s="51">
        <f ca="1">LOOKUP(9.99999999999999E+307,CHOOSE({1,2},0,SUM(OFFSET(INDIRECT("'"&amp;TEXT(MATCH(Q$2,$C$2:$R$2,0),"00")&amp;"'!C"&amp;ROW()),0,$D$1-1,1,$F$1))))</f>
        <v>0</v>
      </c>
      <c r="R7" s="51">
        <f ca="1">LOOKUP(9.99999999999999E+307,CHOOSE({1,2},0,SUM(OFFSET(INDIRECT("'"&amp;TEXT(MATCH(R$2,$C$2:$R$2,0),"00")&amp;"'!C"&amp;ROW()),0,$D$1-1,1,$F$1))))</f>
        <v>0</v>
      </c>
    </row>
    <row r="8" spans="1:18">
      <c r="A8" s="4" t="s">
        <v>5</v>
      </c>
      <c r="B8" s="6">
        <f ca="1">IF(B6=0,0,B11/B6)</f>
        <v>1462.523579059829</v>
      </c>
      <c r="C8" s="51">
        <f ca="1">LOOKUP(9.99999999999999E+307,CHOOSE({1,2},0,SUM(OFFSET(INDIRECT("'"&amp;TEXT(MATCH(C$2,$C$2:$R$2,0),"00")&amp;"'!C"&amp;ROW()),0,$D$1-1,1,$F$1))))</f>
        <v>0</v>
      </c>
      <c r="D8" s="51">
        <f ca="1">LOOKUP(9.99999999999999E+307,CHOOSE({1,2},0,SUM(OFFSET(INDIRECT("'"&amp;TEXT(MATCH(D$2,$C$2:$R$2,0),"00")&amp;"'!C"&amp;ROW()),0,$D$1-1,1,$F$1))))</f>
        <v>0</v>
      </c>
      <c r="E8" s="51">
        <f ca="1">LOOKUP(9.99999999999999E+307,CHOOSE({1,2},0,SUM(OFFSET(INDIRECT("'"&amp;TEXT(MATCH(E$2,$C$2:$R$2,0),"00")&amp;"'!C"&amp;ROW()),0,$D$1-1,1,$F$1))))</f>
        <v>0</v>
      </c>
      <c r="F8" s="51">
        <f ca="1">LOOKUP(9.99999999999999E+307,CHOOSE({1,2},0,SUM(OFFSET(INDIRECT("'"&amp;TEXT(MATCH(F$2,$C$2:$R$2,0),"00")&amp;"'!C"&amp;ROW()),0,$D$1-1,1,$F$1))))</f>
        <v>0</v>
      </c>
      <c r="G8" s="51">
        <f ca="1">LOOKUP(9.99999999999999E+307,CHOOSE({1,2},0,SUM(OFFSET(INDIRECT("'"&amp;TEXT(MATCH(G$2,$C$2:$R$2,0),"00")&amp;"'!C"&amp;ROW()),0,$D$1-1,1,$F$1))))</f>
        <v>0</v>
      </c>
      <c r="H8" s="51">
        <f ca="1">LOOKUP(9.99999999999999E+307,CHOOSE({1,2},0,SUM(OFFSET(INDIRECT("'"&amp;TEXT(MATCH(H$2,$C$2:$R$2,0),"00")&amp;"'!C"&amp;ROW()),0,$D$1-1,1,$F$1))))</f>
        <v>0</v>
      </c>
      <c r="I8" s="51">
        <f ca="1">LOOKUP(9.99999999999999E+307,CHOOSE({1,2},0,SUM(OFFSET(INDIRECT("'"&amp;TEXT(MATCH(I$2,$C$2:$R$2,0),"00")&amp;"'!C"&amp;ROW()),0,$D$1-1,1,$F$1))))</f>
        <v>0</v>
      </c>
      <c r="J8" s="51">
        <f ca="1">LOOKUP(9.99999999999999E+307,CHOOSE({1,2},0,SUM(OFFSET(INDIRECT("'"&amp;TEXT(MATCH(J$2,$C$2:$R$2,0),"00")&amp;"'!C"&amp;ROW()),0,$D$1-1,1,$F$1))))</f>
        <v>0</v>
      </c>
      <c r="K8" s="51">
        <f ca="1">LOOKUP(9.99999999999999E+307,CHOOSE({1,2},0,SUM(OFFSET(INDIRECT("'"&amp;TEXT(MATCH(K$2,$C$2:$R$2,0),"00")&amp;"'!C"&amp;ROW()),0,$D$1-1,1,$F$1))))</f>
        <v>0</v>
      </c>
      <c r="L8" s="51">
        <f ca="1">LOOKUP(9.99999999999999E+307,CHOOSE({1,2},0,SUM(OFFSET(INDIRECT("'"&amp;TEXT(MATCH(L$2,$C$2:$R$2,0),"00")&amp;"'!C"&amp;ROW()),0,$D$1-1,1,$F$1))))</f>
        <v>0</v>
      </c>
      <c r="M8" s="51">
        <f ca="1">LOOKUP(9.99999999999999E+307,CHOOSE({1,2},0,SUM(OFFSET(INDIRECT("'"&amp;TEXT(MATCH(M$2,$C$2:$R$2,0),"00")&amp;"'!C"&amp;ROW()),0,$D$1-1,1,$F$1))))</f>
        <v>0</v>
      </c>
      <c r="N8" s="51">
        <f ca="1">LOOKUP(9.99999999999999E+307,CHOOSE({1,2},0,SUM(OFFSET(INDIRECT("'"&amp;TEXT(MATCH(N$2,$C$2:$R$2,0),"00")&amp;"'!C"&amp;ROW()),0,$D$1-1,1,$F$1))))</f>
        <v>0</v>
      </c>
      <c r="O8" s="51">
        <f ca="1">LOOKUP(9.99999999999999E+307,CHOOSE({1,2},0,SUM(OFFSET(INDIRECT("'"&amp;TEXT(MATCH(O$2,$C$2:$R$2,0),"00")&amp;"'!C"&amp;ROW()),0,$D$1-1,1,$F$1))))</f>
        <v>0</v>
      </c>
      <c r="P8" s="51">
        <f ca="1">LOOKUP(9.99999999999999E+307,CHOOSE({1,2},0,SUM(OFFSET(INDIRECT("'"&amp;TEXT(MATCH(P$2,$C$2:$R$2,0),"00")&amp;"'!C"&amp;ROW()),0,$D$1-1,1,$F$1))))</f>
        <v>0</v>
      </c>
      <c r="Q8" s="51">
        <f ca="1">LOOKUP(9.99999999999999E+307,CHOOSE({1,2},0,SUM(OFFSET(INDIRECT("'"&amp;TEXT(MATCH(Q$2,$C$2:$R$2,0),"00")&amp;"'!C"&amp;ROW()),0,$D$1-1,1,$F$1))))</f>
        <v>0</v>
      </c>
      <c r="R8" s="51">
        <f ca="1">LOOKUP(9.99999999999999E+307,CHOOSE({1,2},0,SUM(OFFSET(INDIRECT("'"&amp;TEXT(MATCH(R$2,$C$2:$R$2,0),"00")&amp;"'!C"&amp;ROW()),0,$D$1-1,1,$F$1))))</f>
        <v>0</v>
      </c>
    </row>
    <row r="9" spans="1:18">
      <c r="A9" s="4" t="s">
        <v>6</v>
      </c>
      <c r="B9" s="6">
        <f ca="1">IF(B11=0,0,B11/B3)</f>
        <v>1278.1718674136321</v>
      </c>
      <c r="C9" s="51">
        <f ca="1">LOOKUP(9.99999999999999E+307,CHOOSE({1,2},0,SUM(OFFSET(INDIRECT("'"&amp;TEXT(MATCH(C$2,$C$2:$R$2,0),"00")&amp;"'!C"&amp;ROW()),0,$D$1-1,1,$F$1))))</f>
        <v>0</v>
      </c>
      <c r="D9" s="51">
        <f ca="1">LOOKUP(9.99999999999999E+307,CHOOSE({1,2},0,SUM(OFFSET(INDIRECT("'"&amp;TEXT(MATCH(D$2,$C$2:$R$2,0),"00")&amp;"'!C"&amp;ROW()),0,$D$1-1,1,$F$1))))</f>
        <v>0</v>
      </c>
      <c r="E9" s="51">
        <f ca="1">LOOKUP(9.99999999999999E+307,CHOOSE({1,2},0,SUM(OFFSET(INDIRECT("'"&amp;TEXT(MATCH(E$2,$C$2:$R$2,0),"00")&amp;"'!C"&amp;ROW()),0,$D$1-1,1,$F$1))))</f>
        <v>0</v>
      </c>
      <c r="F9" s="51">
        <f ca="1">LOOKUP(9.99999999999999E+307,CHOOSE({1,2},0,SUM(OFFSET(INDIRECT("'"&amp;TEXT(MATCH(F$2,$C$2:$R$2,0),"00")&amp;"'!C"&amp;ROW()),0,$D$1-1,1,$F$1))))</f>
        <v>0</v>
      </c>
      <c r="G9" s="51">
        <f ca="1">LOOKUP(9.99999999999999E+307,CHOOSE({1,2},0,SUM(OFFSET(INDIRECT("'"&amp;TEXT(MATCH(G$2,$C$2:$R$2,0),"00")&amp;"'!C"&amp;ROW()),0,$D$1-1,1,$F$1))))</f>
        <v>0</v>
      </c>
      <c r="H9" s="51">
        <f ca="1">LOOKUP(9.99999999999999E+307,CHOOSE({1,2},0,SUM(OFFSET(INDIRECT("'"&amp;TEXT(MATCH(H$2,$C$2:$R$2,0),"00")&amp;"'!C"&amp;ROW()),0,$D$1-1,1,$F$1))))</f>
        <v>0</v>
      </c>
      <c r="I9" s="51">
        <f ca="1">LOOKUP(9.99999999999999E+307,CHOOSE({1,2},0,SUM(OFFSET(INDIRECT("'"&amp;TEXT(MATCH(I$2,$C$2:$R$2,0),"00")&amp;"'!C"&amp;ROW()),0,$D$1-1,1,$F$1))))</f>
        <v>0</v>
      </c>
      <c r="J9" s="51">
        <f ca="1">LOOKUP(9.99999999999999E+307,CHOOSE({1,2},0,SUM(OFFSET(INDIRECT("'"&amp;TEXT(MATCH(J$2,$C$2:$R$2,0),"00")&amp;"'!C"&amp;ROW()),0,$D$1-1,1,$F$1))))</f>
        <v>0</v>
      </c>
      <c r="K9" s="51">
        <f ca="1">LOOKUP(9.99999999999999E+307,CHOOSE({1,2},0,SUM(OFFSET(INDIRECT("'"&amp;TEXT(MATCH(K$2,$C$2:$R$2,0),"00")&amp;"'!C"&amp;ROW()),0,$D$1-1,1,$F$1))))</f>
        <v>0</v>
      </c>
      <c r="L9" s="51">
        <f ca="1">LOOKUP(9.99999999999999E+307,CHOOSE({1,2},0,SUM(OFFSET(INDIRECT("'"&amp;TEXT(MATCH(L$2,$C$2:$R$2,0),"00")&amp;"'!C"&amp;ROW()),0,$D$1-1,1,$F$1))))</f>
        <v>0</v>
      </c>
      <c r="M9" s="51">
        <f ca="1">LOOKUP(9.99999999999999E+307,CHOOSE({1,2},0,SUM(OFFSET(INDIRECT("'"&amp;TEXT(MATCH(M$2,$C$2:$R$2,0),"00")&amp;"'!C"&amp;ROW()),0,$D$1-1,1,$F$1))))</f>
        <v>0</v>
      </c>
      <c r="N9" s="51">
        <f ca="1">LOOKUP(9.99999999999999E+307,CHOOSE({1,2},0,SUM(OFFSET(INDIRECT("'"&amp;TEXT(MATCH(N$2,$C$2:$R$2,0),"00")&amp;"'!C"&amp;ROW()),0,$D$1-1,1,$F$1))))</f>
        <v>0</v>
      </c>
      <c r="O9" s="51">
        <f ca="1">LOOKUP(9.99999999999999E+307,CHOOSE({1,2},0,SUM(OFFSET(INDIRECT("'"&amp;TEXT(MATCH(O$2,$C$2:$R$2,0),"00")&amp;"'!C"&amp;ROW()),0,$D$1-1,1,$F$1))))</f>
        <v>0</v>
      </c>
      <c r="P9" s="51">
        <f ca="1">LOOKUP(9.99999999999999E+307,CHOOSE({1,2},0,SUM(OFFSET(INDIRECT("'"&amp;TEXT(MATCH(P$2,$C$2:$R$2,0),"00")&amp;"'!C"&amp;ROW()),0,$D$1-1,1,$F$1))))</f>
        <v>0</v>
      </c>
      <c r="Q9" s="51">
        <f ca="1">LOOKUP(9.99999999999999E+307,CHOOSE({1,2},0,SUM(OFFSET(INDIRECT("'"&amp;TEXT(MATCH(Q$2,$C$2:$R$2,0),"00")&amp;"'!C"&amp;ROW()),0,$D$1-1,1,$F$1))))</f>
        <v>0</v>
      </c>
      <c r="R9" s="51">
        <f ca="1">LOOKUP(9.99999999999999E+307,CHOOSE({1,2},0,SUM(OFFSET(INDIRECT("'"&amp;TEXT(MATCH(R$2,$C$2:$R$2,0),"00")&amp;"'!C"&amp;ROW()),0,$D$1-1,1,$F$1))))</f>
        <v>0</v>
      </c>
    </row>
    <row r="10" spans="1:18" ht="20.100000000000001" customHeight="1">
      <c r="A10" s="21" t="s">
        <v>23</v>
      </c>
      <c r="B10" s="29"/>
      <c r="C10" s="51">
        <f ca="1">LOOKUP(9.99999999999999E+307,CHOOSE({1,2},0,SUM(OFFSET(INDIRECT("'"&amp;TEXT(MATCH(C$2,$C$2:$R$2,0),"00")&amp;"'!C"&amp;ROW()),0,$D$1-1,1,$F$1))))</f>
        <v>0</v>
      </c>
      <c r="D10" s="51">
        <f ca="1">LOOKUP(9.99999999999999E+307,CHOOSE({1,2},0,SUM(OFFSET(INDIRECT("'"&amp;TEXT(MATCH(D$2,$C$2:$R$2,0),"00")&amp;"'!C"&amp;ROW()),0,$D$1-1,1,$F$1))))</f>
        <v>0</v>
      </c>
      <c r="E10" s="51">
        <f ca="1">LOOKUP(9.99999999999999E+307,CHOOSE({1,2},0,SUM(OFFSET(INDIRECT("'"&amp;TEXT(MATCH(E$2,$C$2:$R$2,0),"00")&amp;"'!C"&amp;ROW()),0,$D$1-1,1,$F$1))))</f>
        <v>0</v>
      </c>
      <c r="F10" s="51">
        <f ca="1">LOOKUP(9.99999999999999E+307,CHOOSE({1,2},0,SUM(OFFSET(INDIRECT("'"&amp;TEXT(MATCH(F$2,$C$2:$R$2,0),"00")&amp;"'!C"&amp;ROW()),0,$D$1-1,1,$F$1))))</f>
        <v>0</v>
      </c>
      <c r="G10" s="51">
        <f ca="1">LOOKUP(9.99999999999999E+307,CHOOSE({1,2},0,SUM(OFFSET(INDIRECT("'"&amp;TEXT(MATCH(G$2,$C$2:$R$2,0),"00")&amp;"'!C"&amp;ROW()),0,$D$1-1,1,$F$1))))</f>
        <v>0</v>
      </c>
      <c r="H10" s="51">
        <f ca="1">LOOKUP(9.99999999999999E+307,CHOOSE({1,2},0,SUM(OFFSET(INDIRECT("'"&amp;TEXT(MATCH(H$2,$C$2:$R$2,0),"00")&amp;"'!C"&amp;ROW()),0,$D$1-1,1,$F$1))))</f>
        <v>0</v>
      </c>
      <c r="I10" s="51">
        <f ca="1">LOOKUP(9.99999999999999E+307,CHOOSE({1,2},0,SUM(OFFSET(INDIRECT("'"&amp;TEXT(MATCH(I$2,$C$2:$R$2,0),"00")&amp;"'!C"&amp;ROW()),0,$D$1-1,1,$F$1))))</f>
        <v>0</v>
      </c>
      <c r="J10" s="51">
        <f ca="1">LOOKUP(9.99999999999999E+307,CHOOSE({1,2},0,SUM(OFFSET(INDIRECT("'"&amp;TEXT(MATCH(J$2,$C$2:$R$2,0),"00")&amp;"'!C"&amp;ROW()),0,$D$1-1,1,$F$1))))</f>
        <v>0</v>
      </c>
      <c r="K10" s="51">
        <f ca="1">LOOKUP(9.99999999999999E+307,CHOOSE({1,2},0,SUM(OFFSET(INDIRECT("'"&amp;TEXT(MATCH(K$2,$C$2:$R$2,0),"00")&amp;"'!C"&amp;ROW()),0,$D$1-1,1,$F$1))))</f>
        <v>0</v>
      </c>
      <c r="L10" s="51">
        <f ca="1">LOOKUP(9.99999999999999E+307,CHOOSE({1,2},0,SUM(OFFSET(INDIRECT("'"&amp;TEXT(MATCH(L$2,$C$2:$R$2,0),"00")&amp;"'!C"&amp;ROW()),0,$D$1-1,1,$F$1))))</f>
        <v>0</v>
      </c>
      <c r="M10" s="51">
        <f ca="1">LOOKUP(9.99999999999999E+307,CHOOSE({1,2},0,SUM(OFFSET(INDIRECT("'"&amp;TEXT(MATCH(M$2,$C$2:$R$2,0),"00")&amp;"'!C"&amp;ROW()),0,$D$1-1,1,$F$1))))</f>
        <v>0</v>
      </c>
      <c r="N10" s="51">
        <f ca="1">LOOKUP(9.99999999999999E+307,CHOOSE({1,2},0,SUM(OFFSET(INDIRECT("'"&amp;TEXT(MATCH(N$2,$C$2:$R$2,0),"00")&amp;"'!C"&amp;ROW()),0,$D$1-1,1,$F$1))))</f>
        <v>0</v>
      </c>
      <c r="O10" s="51">
        <f ca="1">LOOKUP(9.99999999999999E+307,CHOOSE({1,2},0,SUM(OFFSET(INDIRECT("'"&amp;TEXT(MATCH(O$2,$C$2:$R$2,0),"00")&amp;"'!C"&amp;ROW()),0,$D$1-1,1,$F$1))))</f>
        <v>0</v>
      </c>
      <c r="P10" s="51">
        <f ca="1">LOOKUP(9.99999999999999E+307,CHOOSE({1,2},0,SUM(OFFSET(INDIRECT("'"&amp;TEXT(MATCH(P$2,$C$2:$R$2,0),"00")&amp;"'!C"&amp;ROW()),0,$D$1-1,1,$F$1))))</f>
        <v>0</v>
      </c>
      <c r="Q10" s="51">
        <f ca="1">LOOKUP(9.99999999999999E+307,CHOOSE({1,2},0,SUM(OFFSET(INDIRECT("'"&amp;TEXT(MATCH(Q$2,$C$2:$R$2,0),"00")&amp;"'!C"&amp;ROW()),0,$D$1-1,1,$F$1))))</f>
        <v>0</v>
      </c>
      <c r="R10" s="51">
        <f ca="1">LOOKUP(9.99999999999999E+307,CHOOSE({1,2},0,SUM(OFFSET(INDIRECT("'"&amp;TEXT(MATCH(R$2,$C$2:$R$2,0),"00")&amp;"'!C"&amp;ROW()),0,$D$1-1,1,$F$1))))</f>
        <v>0</v>
      </c>
    </row>
    <row r="11" spans="1:18">
      <c r="A11" s="4" t="s">
        <v>8</v>
      </c>
      <c r="B11" s="23">
        <f ca="1">SUM(C11:R11)</f>
        <v>1368922.0699999998</v>
      </c>
      <c r="C11" s="51">
        <f ca="1">LOOKUP(9.99999999999999E+307,CHOOSE({1,2},0,SUM(OFFSET(INDIRECT("'"&amp;TEXT(MATCH(C$2,$C$2:$R$2,0),"00")&amp;"'!C"&amp;ROW()),0,$D$1-1,1,$F$1))))</f>
        <v>0</v>
      </c>
      <c r="D11" s="51">
        <f ca="1">LOOKUP(9.99999999999999E+307,CHOOSE({1,2},0,SUM(OFFSET(INDIRECT("'"&amp;TEXT(MATCH(D$2,$C$2:$R$2,0),"00")&amp;"'!C"&amp;ROW()),0,$D$1-1,1,$F$1))))</f>
        <v>0</v>
      </c>
      <c r="E11" s="51">
        <f ca="1">LOOKUP(9.99999999999999E+307,CHOOSE({1,2},0,SUM(OFFSET(INDIRECT("'"&amp;TEXT(MATCH(E$2,$C$2:$R$2,0),"00")&amp;"'!C"&amp;ROW()),0,$D$1-1,1,$F$1))))</f>
        <v>0</v>
      </c>
      <c r="F11" s="51">
        <f ca="1">LOOKUP(9.99999999999999E+307,CHOOSE({1,2},0,SUM(OFFSET(INDIRECT("'"&amp;TEXT(MATCH(F$2,$C$2:$R$2,0),"00")&amp;"'!C"&amp;ROW()),0,$D$1-1,1,$F$1))))</f>
        <v>0</v>
      </c>
      <c r="G11" s="51">
        <f ca="1">LOOKUP(9.99999999999999E+307,CHOOSE({1,2},0,SUM(OFFSET(INDIRECT("'"&amp;TEXT(MATCH(G$2,$C$2:$R$2,0),"00")&amp;"'!C"&amp;ROW()),0,$D$1-1,1,$F$1))))</f>
        <v>0</v>
      </c>
      <c r="H11" s="51">
        <f ca="1">LOOKUP(9.99999999999999E+307,CHOOSE({1,2},0,SUM(OFFSET(INDIRECT("'"&amp;TEXT(MATCH(H$2,$C$2:$R$2,0),"00")&amp;"'!C"&amp;ROW()),0,$D$1-1,1,$F$1))))</f>
        <v>0</v>
      </c>
      <c r="I11" s="51">
        <f ca="1">LOOKUP(9.99999999999999E+307,CHOOSE({1,2},0,SUM(OFFSET(INDIRECT("'"&amp;TEXT(MATCH(I$2,$C$2:$R$2,0),"00")&amp;"'!C"&amp;ROW()),0,$D$1-1,1,$F$1))))</f>
        <v>0</v>
      </c>
      <c r="J11" s="51">
        <f ca="1">LOOKUP(9.99999999999999E+307,CHOOSE({1,2},0,SUM(OFFSET(INDIRECT("'"&amp;TEXT(MATCH(J$2,$C$2:$R$2,0),"00")&amp;"'!C"&amp;ROW()),0,$D$1-1,1,$F$1))))</f>
        <v>0</v>
      </c>
      <c r="K11" s="51">
        <f ca="1">LOOKUP(9.99999999999999E+307,CHOOSE({1,2},0,SUM(OFFSET(INDIRECT("'"&amp;TEXT(MATCH(K$2,$C$2:$R$2,0),"00")&amp;"'!C"&amp;ROW()),0,$D$1-1,1,$F$1))))</f>
        <v>0</v>
      </c>
      <c r="L11" s="51">
        <f ca="1">LOOKUP(9.99999999999999E+307,CHOOSE({1,2},0,SUM(OFFSET(INDIRECT("'"&amp;TEXT(MATCH(L$2,$C$2:$R$2,0),"00")&amp;"'!C"&amp;ROW()),0,$D$1-1,1,$F$1))))</f>
        <v>0</v>
      </c>
      <c r="M11" s="51">
        <f ca="1">LOOKUP(9.99999999999999E+307,CHOOSE({1,2},0,SUM(OFFSET(INDIRECT("'"&amp;TEXT(MATCH(M$2,$C$2:$R$2,0),"00")&amp;"'!C"&amp;ROW()),0,$D$1-1,1,$F$1))))</f>
        <v>0</v>
      </c>
      <c r="N11" s="51">
        <f ca="1">LOOKUP(9.99999999999999E+307,CHOOSE({1,2},0,SUM(OFFSET(INDIRECT("'"&amp;TEXT(MATCH(N$2,$C$2:$R$2,0),"00")&amp;"'!C"&amp;ROW()),0,$D$1-1,1,$F$1))))</f>
        <v>0</v>
      </c>
      <c r="O11" s="51">
        <f ca="1">LOOKUP(9.99999999999999E+307,CHOOSE({1,2},0,SUM(OFFSET(INDIRECT("'"&amp;TEXT(MATCH(O$2,$C$2:$R$2,0),"00")&amp;"'!C"&amp;ROW()),0,$D$1-1,1,$F$1))))</f>
        <v>0</v>
      </c>
      <c r="P11" s="51">
        <f ca="1">LOOKUP(9.99999999999999E+307,CHOOSE({1,2},0,SUM(OFFSET(INDIRECT("'"&amp;TEXT(MATCH(P$2,$C$2:$R$2,0),"00")&amp;"'!C"&amp;ROW()),0,$D$1-1,1,$F$1))))</f>
        <v>0</v>
      </c>
      <c r="Q11" s="51">
        <f ca="1">LOOKUP(9.99999999999999E+307,CHOOSE({1,2},0,SUM(OFFSET(INDIRECT("'"&amp;TEXT(MATCH(Q$2,$C$2:$R$2,0),"00")&amp;"'!C"&amp;ROW()),0,$D$1-1,1,$F$1))))</f>
        <v>0</v>
      </c>
      <c r="R11" s="51">
        <f ca="1">LOOKUP(9.99999999999999E+307,CHOOSE({1,2},0,SUM(OFFSET(INDIRECT("'"&amp;TEXT(MATCH(R$2,$C$2:$R$2,0),"00")&amp;"'!C"&amp;ROW()),0,$D$1-1,1,$F$1))))</f>
        <v>0</v>
      </c>
    </row>
    <row r="12" spans="1:18">
      <c r="A12" s="4" t="s">
        <v>9</v>
      </c>
      <c r="B12" s="23">
        <f ca="1">SUM(C12:R12)</f>
        <v>70427</v>
      </c>
      <c r="C12" s="51">
        <f ca="1">LOOKUP(9.99999999999999E+307,CHOOSE({1,2},0,SUM(OFFSET(INDIRECT("'"&amp;TEXT(MATCH(C$2,$C$2:$R$2,0),"00")&amp;"'!C"&amp;ROW()),0,$D$1-1,1,$F$1))))</f>
        <v>0</v>
      </c>
      <c r="D12" s="51">
        <f ca="1">LOOKUP(9.99999999999999E+307,CHOOSE({1,2},0,SUM(OFFSET(INDIRECT("'"&amp;TEXT(MATCH(D$2,$C$2:$R$2,0),"00")&amp;"'!C"&amp;ROW()),0,$D$1-1,1,$F$1))))</f>
        <v>0</v>
      </c>
      <c r="E12" s="51">
        <f ca="1">LOOKUP(9.99999999999999E+307,CHOOSE({1,2},0,SUM(OFFSET(INDIRECT("'"&amp;TEXT(MATCH(E$2,$C$2:$R$2,0),"00")&amp;"'!C"&amp;ROW()),0,$D$1-1,1,$F$1))))</f>
        <v>0</v>
      </c>
      <c r="F12" s="51">
        <f ca="1">LOOKUP(9.99999999999999E+307,CHOOSE({1,2},0,SUM(OFFSET(INDIRECT("'"&amp;TEXT(MATCH(F$2,$C$2:$R$2,0),"00")&amp;"'!C"&amp;ROW()),0,$D$1-1,1,$F$1))))</f>
        <v>0</v>
      </c>
      <c r="G12" s="51">
        <f ca="1">LOOKUP(9.99999999999999E+307,CHOOSE({1,2},0,SUM(OFFSET(INDIRECT("'"&amp;TEXT(MATCH(G$2,$C$2:$R$2,0),"00")&amp;"'!C"&amp;ROW()),0,$D$1-1,1,$F$1))))</f>
        <v>0</v>
      </c>
      <c r="H12" s="51">
        <f ca="1">LOOKUP(9.99999999999999E+307,CHOOSE({1,2},0,SUM(OFFSET(INDIRECT("'"&amp;TEXT(MATCH(H$2,$C$2:$R$2,0),"00")&amp;"'!C"&amp;ROW()),0,$D$1-1,1,$F$1))))</f>
        <v>0</v>
      </c>
      <c r="I12" s="51">
        <f ca="1">LOOKUP(9.99999999999999E+307,CHOOSE({1,2},0,SUM(OFFSET(INDIRECT("'"&amp;TEXT(MATCH(I$2,$C$2:$R$2,0),"00")&amp;"'!C"&amp;ROW()),0,$D$1-1,1,$F$1))))</f>
        <v>0</v>
      </c>
      <c r="J12" s="51">
        <f ca="1">LOOKUP(9.99999999999999E+307,CHOOSE({1,2},0,SUM(OFFSET(INDIRECT("'"&amp;TEXT(MATCH(J$2,$C$2:$R$2,0),"00")&amp;"'!C"&amp;ROW()),0,$D$1-1,1,$F$1))))</f>
        <v>0</v>
      </c>
      <c r="K12" s="51">
        <f ca="1">LOOKUP(9.99999999999999E+307,CHOOSE({1,2},0,SUM(OFFSET(INDIRECT("'"&amp;TEXT(MATCH(K$2,$C$2:$R$2,0),"00")&amp;"'!C"&amp;ROW()),0,$D$1-1,1,$F$1))))</f>
        <v>0</v>
      </c>
      <c r="L12" s="51">
        <f ca="1">LOOKUP(9.99999999999999E+307,CHOOSE({1,2},0,SUM(OFFSET(INDIRECT("'"&amp;TEXT(MATCH(L$2,$C$2:$R$2,0),"00")&amp;"'!C"&amp;ROW()),0,$D$1-1,1,$F$1))))</f>
        <v>0</v>
      </c>
      <c r="M12" s="51">
        <f ca="1">LOOKUP(9.99999999999999E+307,CHOOSE({1,2},0,SUM(OFFSET(INDIRECT("'"&amp;TEXT(MATCH(M$2,$C$2:$R$2,0),"00")&amp;"'!C"&amp;ROW()),0,$D$1-1,1,$F$1))))</f>
        <v>0</v>
      </c>
      <c r="N12" s="51">
        <f ca="1">LOOKUP(9.99999999999999E+307,CHOOSE({1,2},0,SUM(OFFSET(INDIRECT("'"&amp;TEXT(MATCH(N$2,$C$2:$R$2,0),"00")&amp;"'!C"&amp;ROW()),0,$D$1-1,1,$F$1))))</f>
        <v>0</v>
      </c>
      <c r="O12" s="51">
        <f ca="1">LOOKUP(9.99999999999999E+307,CHOOSE({1,2},0,SUM(OFFSET(INDIRECT("'"&amp;TEXT(MATCH(O$2,$C$2:$R$2,0),"00")&amp;"'!C"&amp;ROW()),0,$D$1-1,1,$F$1))))</f>
        <v>0</v>
      </c>
      <c r="P12" s="51">
        <f ca="1">LOOKUP(9.99999999999999E+307,CHOOSE({1,2},0,SUM(OFFSET(INDIRECT("'"&amp;TEXT(MATCH(P$2,$C$2:$R$2,0),"00")&amp;"'!C"&amp;ROW()),0,$D$1-1,1,$F$1))))</f>
        <v>0</v>
      </c>
      <c r="Q12" s="51">
        <f ca="1">LOOKUP(9.99999999999999E+307,CHOOSE({1,2},0,SUM(OFFSET(INDIRECT("'"&amp;TEXT(MATCH(Q$2,$C$2:$R$2,0),"00")&amp;"'!C"&amp;ROW()),0,$D$1-1,1,$F$1))))</f>
        <v>0</v>
      </c>
      <c r="R12" s="51">
        <f ca="1">LOOKUP(9.99999999999999E+307,CHOOSE({1,2},0,SUM(OFFSET(INDIRECT("'"&amp;TEXT(MATCH(R$2,$C$2:$R$2,0),"00")&amp;"'!C"&amp;ROW()),0,$D$1-1,1,$F$1))))</f>
        <v>0</v>
      </c>
    </row>
    <row r="13" spans="1:18">
      <c r="A13" s="8" t="s">
        <v>10</v>
      </c>
      <c r="B13" s="23">
        <f ca="1">SUM(C13:R13)</f>
        <v>42845</v>
      </c>
      <c r="C13" s="51">
        <f ca="1">LOOKUP(9.99999999999999E+307,CHOOSE({1,2},0,SUM(OFFSET(INDIRECT("'"&amp;TEXT(MATCH(C$2,$C$2:$R$2,0),"00")&amp;"'!C"&amp;ROW()),0,$D$1-1,1,$F$1))))</f>
        <v>0</v>
      </c>
      <c r="D13" s="51">
        <f ca="1">LOOKUP(9.99999999999999E+307,CHOOSE({1,2},0,SUM(OFFSET(INDIRECT("'"&amp;TEXT(MATCH(D$2,$C$2:$R$2,0),"00")&amp;"'!C"&amp;ROW()),0,$D$1-1,1,$F$1))))</f>
        <v>0</v>
      </c>
      <c r="E13" s="51">
        <f ca="1">LOOKUP(9.99999999999999E+307,CHOOSE({1,2},0,SUM(OFFSET(INDIRECT("'"&amp;TEXT(MATCH(E$2,$C$2:$R$2,0),"00")&amp;"'!C"&amp;ROW()),0,$D$1-1,1,$F$1))))</f>
        <v>0</v>
      </c>
      <c r="F13" s="51">
        <f ca="1">LOOKUP(9.99999999999999E+307,CHOOSE({1,2},0,SUM(OFFSET(INDIRECT("'"&amp;TEXT(MATCH(F$2,$C$2:$R$2,0),"00")&amp;"'!C"&amp;ROW()),0,$D$1-1,1,$F$1))))</f>
        <v>0</v>
      </c>
      <c r="G13" s="51">
        <f ca="1">LOOKUP(9.99999999999999E+307,CHOOSE({1,2},0,SUM(OFFSET(INDIRECT("'"&amp;TEXT(MATCH(G$2,$C$2:$R$2,0),"00")&amp;"'!C"&amp;ROW()),0,$D$1-1,1,$F$1))))</f>
        <v>0</v>
      </c>
      <c r="H13" s="51">
        <f ca="1">LOOKUP(9.99999999999999E+307,CHOOSE({1,2},0,SUM(OFFSET(INDIRECT("'"&amp;TEXT(MATCH(H$2,$C$2:$R$2,0),"00")&amp;"'!C"&amp;ROW()),0,$D$1-1,1,$F$1))))</f>
        <v>0</v>
      </c>
      <c r="I13" s="51">
        <f ca="1">LOOKUP(9.99999999999999E+307,CHOOSE({1,2},0,SUM(OFFSET(INDIRECT("'"&amp;TEXT(MATCH(I$2,$C$2:$R$2,0),"00")&amp;"'!C"&amp;ROW()),0,$D$1-1,1,$F$1))))</f>
        <v>0</v>
      </c>
      <c r="J13" s="51">
        <f ca="1">LOOKUP(9.99999999999999E+307,CHOOSE({1,2},0,SUM(OFFSET(INDIRECT("'"&amp;TEXT(MATCH(J$2,$C$2:$R$2,0),"00")&amp;"'!C"&amp;ROW()),0,$D$1-1,1,$F$1))))</f>
        <v>0</v>
      </c>
      <c r="K13" s="51">
        <f ca="1">LOOKUP(9.99999999999999E+307,CHOOSE({1,2},0,SUM(OFFSET(INDIRECT("'"&amp;TEXT(MATCH(K$2,$C$2:$R$2,0),"00")&amp;"'!C"&amp;ROW()),0,$D$1-1,1,$F$1))))</f>
        <v>0</v>
      </c>
      <c r="L13" s="51">
        <f ca="1">LOOKUP(9.99999999999999E+307,CHOOSE({1,2},0,SUM(OFFSET(INDIRECT("'"&amp;TEXT(MATCH(L$2,$C$2:$R$2,0),"00")&amp;"'!C"&amp;ROW()),0,$D$1-1,1,$F$1))))</f>
        <v>0</v>
      </c>
      <c r="M13" s="51">
        <f ca="1">LOOKUP(9.99999999999999E+307,CHOOSE({1,2},0,SUM(OFFSET(INDIRECT("'"&amp;TEXT(MATCH(M$2,$C$2:$R$2,0),"00")&amp;"'!C"&amp;ROW()),0,$D$1-1,1,$F$1))))</f>
        <v>0</v>
      </c>
      <c r="N13" s="51">
        <f ca="1">LOOKUP(9.99999999999999E+307,CHOOSE({1,2},0,SUM(OFFSET(INDIRECT("'"&amp;TEXT(MATCH(N$2,$C$2:$R$2,0),"00")&amp;"'!C"&amp;ROW()),0,$D$1-1,1,$F$1))))</f>
        <v>0</v>
      </c>
      <c r="O13" s="51">
        <f ca="1">LOOKUP(9.99999999999999E+307,CHOOSE({1,2},0,SUM(OFFSET(INDIRECT("'"&amp;TEXT(MATCH(O$2,$C$2:$R$2,0),"00")&amp;"'!C"&amp;ROW()),0,$D$1-1,1,$F$1))))</f>
        <v>0</v>
      </c>
      <c r="P13" s="51">
        <f ca="1">LOOKUP(9.99999999999999E+307,CHOOSE({1,2},0,SUM(OFFSET(INDIRECT("'"&amp;TEXT(MATCH(P$2,$C$2:$R$2,0),"00")&amp;"'!C"&amp;ROW()),0,$D$1-1,1,$F$1))))</f>
        <v>0</v>
      </c>
      <c r="Q13" s="51">
        <f ca="1">LOOKUP(9.99999999999999E+307,CHOOSE({1,2},0,SUM(OFFSET(INDIRECT("'"&amp;TEXT(MATCH(Q$2,$C$2:$R$2,0),"00")&amp;"'!C"&amp;ROW()),0,$D$1-1,1,$F$1))))</f>
        <v>0</v>
      </c>
      <c r="R13" s="51">
        <f ca="1">LOOKUP(9.99999999999999E+307,CHOOSE({1,2},0,SUM(OFFSET(INDIRECT("'"&amp;TEXT(MATCH(R$2,$C$2:$R$2,0),"00")&amp;"'!C"&amp;ROW()),0,$D$1-1,1,$F$1))))</f>
        <v>0</v>
      </c>
    </row>
    <row r="14" spans="1:18" ht="20.100000000000001" customHeight="1">
      <c r="A14" s="10" t="s">
        <v>14</v>
      </c>
      <c r="B14" s="18">
        <f ca="1">SUM(B11:B13)</f>
        <v>1482194.0699999998</v>
      </c>
      <c r="C14" s="51">
        <f ca="1">LOOKUP(9.99999999999999E+307,CHOOSE({1,2},0,SUM(OFFSET(INDIRECT("'"&amp;TEXT(MATCH(C$2,$C$2:$R$2,0),"00")&amp;"'!C"&amp;ROW()),0,$D$1-1,1,$F$1))))</f>
        <v>0</v>
      </c>
      <c r="D14" s="51">
        <f ca="1">LOOKUP(9.99999999999999E+307,CHOOSE({1,2},0,SUM(OFFSET(INDIRECT("'"&amp;TEXT(MATCH(D$2,$C$2:$R$2,0),"00")&amp;"'!C"&amp;ROW()),0,$D$1-1,1,$F$1))))</f>
        <v>0</v>
      </c>
      <c r="E14" s="51">
        <f ca="1">LOOKUP(9.99999999999999E+307,CHOOSE({1,2},0,SUM(OFFSET(INDIRECT("'"&amp;TEXT(MATCH(E$2,$C$2:$R$2,0),"00")&amp;"'!C"&amp;ROW()),0,$D$1-1,1,$F$1))))</f>
        <v>0</v>
      </c>
      <c r="F14" s="51">
        <f ca="1">LOOKUP(9.99999999999999E+307,CHOOSE({1,2},0,SUM(OFFSET(INDIRECT("'"&amp;TEXT(MATCH(F$2,$C$2:$R$2,0),"00")&amp;"'!C"&amp;ROW()),0,$D$1-1,1,$F$1))))</f>
        <v>0</v>
      </c>
      <c r="G14" s="51">
        <f ca="1">LOOKUP(9.99999999999999E+307,CHOOSE({1,2},0,SUM(OFFSET(INDIRECT("'"&amp;TEXT(MATCH(G$2,$C$2:$R$2,0),"00")&amp;"'!C"&amp;ROW()),0,$D$1-1,1,$F$1))))</f>
        <v>0</v>
      </c>
      <c r="H14" s="51">
        <f ca="1">LOOKUP(9.99999999999999E+307,CHOOSE({1,2},0,SUM(OFFSET(INDIRECT("'"&amp;TEXT(MATCH(H$2,$C$2:$R$2,0),"00")&amp;"'!C"&amp;ROW()),0,$D$1-1,1,$F$1))))</f>
        <v>0</v>
      </c>
      <c r="I14" s="51">
        <f ca="1">LOOKUP(9.99999999999999E+307,CHOOSE({1,2},0,SUM(OFFSET(INDIRECT("'"&amp;TEXT(MATCH(I$2,$C$2:$R$2,0),"00")&amp;"'!C"&amp;ROW()),0,$D$1-1,1,$F$1))))</f>
        <v>0</v>
      </c>
      <c r="J14" s="51">
        <f ca="1">LOOKUP(9.99999999999999E+307,CHOOSE({1,2},0,SUM(OFFSET(INDIRECT("'"&amp;TEXT(MATCH(J$2,$C$2:$R$2,0),"00")&amp;"'!C"&amp;ROW()),0,$D$1-1,1,$F$1))))</f>
        <v>0</v>
      </c>
      <c r="K14" s="51">
        <f ca="1">LOOKUP(9.99999999999999E+307,CHOOSE({1,2},0,SUM(OFFSET(INDIRECT("'"&amp;TEXT(MATCH(K$2,$C$2:$R$2,0),"00")&amp;"'!C"&amp;ROW()),0,$D$1-1,1,$F$1))))</f>
        <v>0</v>
      </c>
      <c r="L14" s="51">
        <f ca="1">LOOKUP(9.99999999999999E+307,CHOOSE({1,2},0,SUM(OFFSET(INDIRECT("'"&amp;TEXT(MATCH(L$2,$C$2:$R$2,0),"00")&amp;"'!C"&amp;ROW()),0,$D$1-1,1,$F$1))))</f>
        <v>0</v>
      </c>
      <c r="M14" s="51">
        <f ca="1">LOOKUP(9.99999999999999E+307,CHOOSE({1,2},0,SUM(OFFSET(INDIRECT("'"&amp;TEXT(MATCH(M$2,$C$2:$R$2,0),"00")&amp;"'!C"&amp;ROW()),0,$D$1-1,1,$F$1))))</f>
        <v>0</v>
      </c>
      <c r="N14" s="51">
        <f ca="1">LOOKUP(9.99999999999999E+307,CHOOSE({1,2},0,SUM(OFFSET(INDIRECT("'"&amp;TEXT(MATCH(N$2,$C$2:$R$2,0),"00")&amp;"'!C"&amp;ROW()),0,$D$1-1,1,$F$1))))</f>
        <v>0</v>
      </c>
      <c r="O14" s="51">
        <f ca="1">LOOKUP(9.99999999999999E+307,CHOOSE({1,2},0,SUM(OFFSET(INDIRECT("'"&amp;TEXT(MATCH(O$2,$C$2:$R$2,0),"00")&amp;"'!C"&amp;ROW()),0,$D$1-1,1,$F$1))))</f>
        <v>0</v>
      </c>
      <c r="P14" s="51">
        <f ca="1">LOOKUP(9.99999999999999E+307,CHOOSE({1,2},0,SUM(OFFSET(INDIRECT("'"&amp;TEXT(MATCH(P$2,$C$2:$R$2,0),"00")&amp;"'!C"&amp;ROW()),0,$D$1-1,1,$F$1))))</f>
        <v>0</v>
      </c>
      <c r="Q14" s="51">
        <f ca="1">LOOKUP(9.99999999999999E+307,CHOOSE({1,2},0,SUM(OFFSET(INDIRECT("'"&amp;TEXT(MATCH(Q$2,$C$2:$R$2,0),"00")&amp;"'!C"&amp;ROW()),0,$D$1-1,1,$F$1))))</f>
        <v>0</v>
      </c>
      <c r="R14" s="51">
        <f ca="1">LOOKUP(9.99999999999999E+307,CHOOSE({1,2},0,SUM(OFFSET(INDIRECT("'"&amp;TEXT(MATCH(R$2,$C$2:$R$2,0),"00")&amp;"'!C"&amp;ROW()),0,$D$1-1,1,$F$1))))</f>
        <v>0</v>
      </c>
    </row>
    <row r="15" spans="1:18">
      <c r="A15" s="16" t="s">
        <v>15</v>
      </c>
      <c r="B15" s="23">
        <f t="shared" ref="B15:B23" ca="1" si="0">SUM(C15:R15)</f>
        <v>499112</v>
      </c>
      <c r="C15" s="51">
        <f ca="1">LOOKUP(9.99999999999999E+307,CHOOSE({1,2},0,SUM(OFFSET(INDIRECT("'"&amp;TEXT(MATCH(C$2,$C$2:$R$2,0),"00")&amp;"'!C"&amp;ROW()),0,$D$1-1,1,$F$1))))</f>
        <v>0</v>
      </c>
      <c r="D15" s="51">
        <f ca="1">LOOKUP(9.99999999999999E+307,CHOOSE({1,2},0,SUM(OFFSET(INDIRECT("'"&amp;TEXT(MATCH(D$2,$C$2:$R$2,0),"00")&amp;"'!C"&amp;ROW()),0,$D$1-1,1,$F$1))))</f>
        <v>0</v>
      </c>
      <c r="E15" s="51">
        <f ca="1">LOOKUP(9.99999999999999E+307,CHOOSE({1,2},0,SUM(OFFSET(INDIRECT("'"&amp;TEXT(MATCH(E$2,$C$2:$R$2,0),"00")&amp;"'!C"&amp;ROW()),0,$D$1-1,1,$F$1))))</f>
        <v>0</v>
      </c>
      <c r="F15" s="51">
        <f ca="1">LOOKUP(9.99999999999999E+307,CHOOSE({1,2},0,SUM(OFFSET(INDIRECT("'"&amp;TEXT(MATCH(F$2,$C$2:$R$2,0),"00")&amp;"'!C"&amp;ROW()),0,$D$1-1,1,$F$1))))</f>
        <v>0</v>
      </c>
      <c r="G15" s="51">
        <f ca="1">LOOKUP(9.99999999999999E+307,CHOOSE({1,2},0,SUM(OFFSET(INDIRECT("'"&amp;TEXT(MATCH(G$2,$C$2:$R$2,0),"00")&amp;"'!C"&amp;ROW()),0,$D$1-1,1,$F$1))))</f>
        <v>0</v>
      </c>
      <c r="H15" s="51">
        <f ca="1">LOOKUP(9.99999999999999E+307,CHOOSE({1,2},0,SUM(OFFSET(INDIRECT("'"&amp;TEXT(MATCH(H$2,$C$2:$R$2,0),"00")&amp;"'!C"&amp;ROW()),0,$D$1-1,1,$F$1))))</f>
        <v>0</v>
      </c>
      <c r="I15" s="51">
        <f ca="1">LOOKUP(9.99999999999999E+307,CHOOSE({1,2},0,SUM(OFFSET(INDIRECT("'"&amp;TEXT(MATCH(I$2,$C$2:$R$2,0),"00")&amp;"'!C"&amp;ROW()),0,$D$1-1,1,$F$1))))</f>
        <v>0</v>
      </c>
      <c r="J15" s="51">
        <f ca="1">LOOKUP(9.99999999999999E+307,CHOOSE({1,2},0,SUM(OFFSET(INDIRECT("'"&amp;TEXT(MATCH(J$2,$C$2:$R$2,0),"00")&amp;"'!C"&amp;ROW()),0,$D$1-1,1,$F$1))))</f>
        <v>0</v>
      </c>
      <c r="K15" s="51">
        <f ca="1">LOOKUP(9.99999999999999E+307,CHOOSE({1,2},0,SUM(OFFSET(INDIRECT("'"&amp;TEXT(MATCH(K$2,$C$2:$R$2,0),"00")&amp;"'!C"&amp;ROW()),0,$D$1-1,1,$F$1))))</f>
        <v>0</v>
      </c>
      <c r="L15" s="51">
        <f ca="1">LOOKUP(9.99999999999999E+307,CHOOSE({1,2},0,SUM(OFFSET(INDIRECT("'"&amp;TEXT(MATCH(L$2,$C$2:$R$2,0),"00")&amp;"'!C"&amp;ROW()),0,$D$1-1,1,$F$1))))</f>
        <v>0</v>
      </c>
      <c r="M15" s="51">
        <f ca="1">LOOKUP(9.99999999999999E+307,CHOOSE({1,2},0,SUM(OFFSET(INDIRECT("'"&amp;TEXT(MATCH(M$2,$C$2:$R$2,0),"00")&amp;"'!C"&amp;ROW()),0,$D$1-1,1,$F$1))))</f>
        <v>0</v>
      </c>
      <c r="N15" s="51">
        <f ca="1">LOOKUP(9.99999999999999E+307,CHOOSE({1,2},0,SUM(OFFSET(INDIRECT("'"&amp;TEXT(MATCH(N$2,$C$2:$R$2,0),"00")&amp;"'!C"&amp;ROW()),0,$D$1-1,1,$F$1))))</f>
        <v>0</v>
      </c>
      <c r="O15" s="51">
        <f ca="1">LOOKUP(9.99999999999999E+307,CHOOSE({1,2},0,SUM(OFFSET(INDIRECT("'"&amp;TEXT(MATCH(O$2,$C$2:$R$2,0),"00")&amp;"'!C"&amp;ROW()),0,$D$1-1,1,$F$1))))</f>
        <v>0</v>
      </c>
      <c r="P15" s="51">
        <f ca="1">LOOKUP(9.99999999999999E+307,CHOOSE({1,2},0,SUM(OFFSET(INDIRECT("'"&amp;TEXT(MATCH(P$2,$C$2:$R$2,0),"00")&amp;"'!C"&amp;ROW()),0,$D$1-1,1,$F$1))))</f>
        <v>0</v>
      </c>
      <c r="Q15" s="51">
        <f ca="1">LOOKUP(9.99999999999999E+307,CHOOSE({1,2},0,SUM(OFFSET(INDIRECT("'"&amp;TEXT(MATCH(Q$2,$C$2:$R$2,0),"00")&amp;"'!C"&amp;ROW()),0,$D$1-1,1,$F$1))))</f>
        <v>0</v>
      </c>
      <c r="R15" s="51">
        <f ca="1">LOOKUP(9.99999999999999E+307,CHOOSE({1,2},0,SUM(OFFSET(INDIRECT("'"&amp;TEXT(MATCH(R$2,$C$2:$R$2,0),"00")&amp;"'!C"&amp;ROW()),0,$D$1-1,1,$F$1))))</f>
        <v>0</v>
      </c>
    </row>
    <row r="16" spans="1:18">
      <c r="A16" s="16" t="s">
        <v>16</v>
      </c>
      <c r="B16" s="23">
        <f t="shared" ca="1" si="0"/>
        <v>1053498.58</v>
      </c>
      <c r="C16" s="51">
        <f ca="1">LOOKUP(9.99999999999999E+307,CHOOSE({1,2},0,SUM(OFFSET(INDIRECT("'"&amp;TEXT(MATCH(C$2,$C$2:$R$2,0),"00")&amp;"'!C"&amp;ROW()),0,$D$1-1,1,$F$1))))</f>
        <v>0</v>
      </c>
      <c r="D16" s="51">
        <f ca="1">LOOKUP(9.99999999999999E+307,CHOOSE({1,2},0,SUM(OFFSET(INDIRECT("'"&amp;TEXT(MATCH(D$2,$C$2:$R$2,0),"00")&amp;"'!C"&amp;ROW()),0,$D$1-1,1,$F$1))))</f>
        <v>0</v>
      </c>
      <c r="E16" s="51">
        <f ca="1">LOOKUP(9.99999999999999E+307,CHOOSE({1,2},0,SUM(OFFSET(INDIRECT("'"&amp;TEXT(MATCH(E$2,$C$2:$R$2,0),"00")&amp;"'!C"&amp;ROW()),0,$D$1-1,1,$F$1))))</f>
        <v>0</v>
      </c>
      <c r="F16" s="51">
        <f ca="1">LOOKUP(9.99999999999999E+307,CHOOSE({1,2},0,SUM(OFFSET(INDIRECT("'"&amp;TEXT(MATCH(F$2,$C$2:$R$2,0),"00")&amp;"'!C"&amp;ROW()),0,$D$1-1,1,$F$1))))</f>
        <v>0</v>
      </c>
      <c r="G16" s="51">
        <f ca="1">LOOKUP(9.99999999999999E+307,CHOOSE({1,2},0,SUM(OFFSET(INDIRECT("'"&amp;TEXT(MATCH(G$2,$C$2:$R$2,0),"00")&amp;"'!C"&amp;ROW()),0,$D$1-1,1,$F$1))))</f>
        <v>0</v>
      </c>
      <c r="H16" s="51">
        <f ca="1">LOOKUP(9.99999999999999E+307,CHOOSE({1,2},0,SUM(OFFSET(INDIRECT("'"&amp;TEXT(MATCH(H$2,$C$2:$R$2,0),"00")&amp;"'!C"&amp;ROW()),0,$D$1-1,1,$F$1))))</f>
        <v>0</v>
      </c>
      <c r="I16" s="51">
        <f ca="1">LOOKUP(9.99999999999999E+307,CHOOSE({1,2},0,SUM(OFFSET(INDIRECT("'"&amp;TEXT(MATCH(I$2,$C$2:$R$2,0),"00")&amp;"'!C"&amp;ROW()),0,$D$1-1,1,$F$1))))</f>
        <v>0</v>
      </c>
      <c r="J16" s="51">
        <f ca="1">LOOKUP(9.99999999999999E+307,CHOOSE({1,2},0,SUM(OFFSET(INDIRECT("'"&amp;TEXT(MATCH(J$2,$C$2:$R$2,0),"00")&amp;"'!C"&amp;ROW()),0,$D$1-1,1,$F$1))))</f>
        <v>0</v>
      </c>
      <c r="K16" s="51">
        <f ca="1">LOOKUP(9.99999999999999E+307,CHOOSE({1,2},0,SUM(OFFSET(INDIRECT("'"&amp;TEXT(MATCH(K$2,$C$2:$R$2,0),"00")&amp;"'!C"&amp;ROW()),0,$D$1-1,1,$F$1))))</f>
        <v>0</v>
      </c>
      <c r="L16" s="51">
        <f ca="1">LOOKUP(9.99999999999999E+307,CHOOSE({1,2},0,SUM(OFFSET(INDIRECT("'"&amp;TEXT(MATCH(L$2,$C$2:$R$2,0),"00")&amp;"'!C"&amp;ROW()),0,$D$1-1,1,$F$1))))</f>
        <v>0</v>
      </c>
      <c r="M16" s="51">
        <f ca="1">LOOKUP(9.99999999999999E+307,CHOOSE({1,2},0,SUM(OFFSET(INDIRECT("'"&amp;TEXT(MATCH(M$2,$C$2:$R$2,0),"00")&amp;"'!C"&amp;ROW()),0,$D$1-1,1,$F$1))))</f>
        <v>0</v>
      </c>
      <c r="N16" s="51">
        <f ca="1">LOOKUP(9.99999999999999E+307,CHOOSE({1,2},0,SUM(OFFSET(INDIRECT("'"&amp;TEXT(MATCH(N$2,$C$2:$R$2,0),"00")&amp;"'!C"&amp;ROW()),0,$D$1-1,1,$F$1))))</f>
        <v>0</v>
      </c>
      <c r="O16" s="51">
        <f ca="1">LOOKUP(9.99999999999999E+307,CHOOSE({1,2},0,SUM(OFFSET(INDIRECT("'"&amp;TEXT(MATCH(O$2,$C$2:$R$2,0),"00")&amp;"'!C"&amp;ROW()),0,$D$1-1,1,$F$1))))</f>
        <v>0</v>
      </c>
      <c r="P16" s="51">
        <f ca="1">LOOKUP(9.99999999999999E+307,CHOOSE({1,2},0,SUM(OFFSET(INDIRECT("'"&amp;TEXT(MATCH(P$2,$C$2:$R$2,0),"00")&amp;"'!C"&amp;ROW()),0,$D$1-1,1,$F$1))))</f>
        <v>0</v>
      </c>
      <c r="Q16" s="51">
        <f ca="1">LOOKUP(9.99999999999999E+307,CHOOSE({1,2},0,SUM(OFFSET(INDIRECT("'"&amp;TEXT(MATCH(Q$2,$C$2:$R$2,0),"00")&amp;"'!C"&amp;ROW()),0,$D$1-1,1,$F$1))))</f>
        <v>0</v>
      </c>
      <c r="R16" s="51">
        <f ca="1">LOOKUP(9.99999999999999E+307,CHOOSE({1,2},0,SUM(OFFSET(INDIRECT("'"&amp;TEXT(MATCH(R$2,$C$2:$R$2,0),"00")&amp;"'!C"&amp;ROW()),0,$D$1-1,1,$F$1))))</f>
        <v>0</v>
      </c>
    </row>
    <row r="17" spans="1:18">
      <c r="A17" s="16" t="s">
        <v>17</v>
      </c>
      <c r="B17" s="23">
        <f t="shared" ca="1" si="0"/>
        <v>134998</v>
      </c>
      <c r="C17" s="51">
        <f ca="1">LOOKUP(9.99999999999999E+307,CHOOSE({1,2},0,SUM(OFFSET(INDIRECT("'"&amp;TEXT(MATCH(C$2,$C$2:$R$2,0),"00")&amp;"'!C"&amp;ROW()),0,$D$1-1,1,$F$1))))</f>
        <v>0</v>
      </c>
      <c r="D17" s="51">
        <f ca="1">LOOKUP(9.99999999999999E+307,CHOOSE({1,2},0,SUM(OFFSET(INDIRECT("'"&amp;TEXT(MATCH(D$2,$C$2:$R$2,0),"00")&amp;"'!C"&amp;ROW()),0,$D$1-1,1,$F$1))))</f>
        <v>0</v>
      </c>
      <c r="E17" s="51">
        <f ca="1">LOOKUP(9.99999999999999E+307,CHOOSE({1,2},0,SUM(OFFSET(INDIRECT("'"&amp;TEXT(MATCH(E$2,$C$2:$R$2,0),"00")&amp;"'!C"&amp;ROW()),0,$D$1-1,1,$F$1))))</f>
        <v>0</v>
      </c>
      <c r="F17" s="51">
        <f ca="1">LOOKUP(9.99999999999999E+307,CHOOSE({1,2},0,SUM(OFFSET(INDIRECT("'"&amp;TEXT(MATCH(F$2,$C$2:$R$2,0),"00")&amp;"'!C"&amp;ROW()),0,$D$1-1,1,$F$1))))</f>
        <v>0</v>
      </c>
      <c r="G17" s="51">
        <f ca="1">LOOKUP(9.99999999999999E+307,CHOOSE({1,2},0,SUM(OFFSET(INDIRECT("'"&amp;TEXT(MATCH(G$2,$C$2:$R$2,0),"00")&amp;"'!C"&amp;ROW()),0,$D$1-1,1,$F$1))))</f>
        <v>0</v>
      </c>
      <c r="H17" s="51">
        <f ca="1">LOOKUP(9.99999999999999E+307,CHOOSE({1,2},0,SUM(OFFSET(INDIRECT("'"&amp;TEXT(MATCH(H$2,$C$2:$R$2,0),"00")&amp;"'!C"&amp;ROW()),0,$D$1-1,1,$F$1))))</f>
        <v>0</v>
      </c>
      <c r="I17" s="51">
        <f ca="1">LOOKUP(9.99999999999999E+307,CHOOSE({1,2},0,SUM(OFFSET(INDIRECT("'"&amp;TEXT(MATCH(I$2,$C$2:$R$2,0),"00")&amp;"'!C"&amp;ROW()),0,$D$1-1,1,$F$1))))</f>
        <v>0</v>
      </c>
      <c r="J17" s="51">
        <f ca="1">LOOKUP(9.99999999999999E+307,CHOOSE({1,2},0,SUM(OFFSET(INDIRECT("'"&amp;TEXT(MATCH(J$2,$C$2:$R$2,0),"00")&amp;"'!C"&amp;ROW()),0,$D$1-1,1,$F$1))))</f>
        <v>0</v>
      </c>
      <c r="K17" s="51">
        <f ca="1">LOOKUP(9.99999999999999E+307,CHOOSE({1,2},0,SUM(OFFSET(INDIRECT("'"&amp;TEXT(MATCH(K$2,$C$2:$R$2,0),"00")&amp;"'!C"&amp;ROW()),0,$D$1-1,1,$F$1))))</f>
        <v>0</v>
      </c>
      <c r="L17" s="51">
        <f ca="1">LOOKUP(9.99999999999999E+307,CHOOSE({1,2},0,SUM(OFFSET(INDIRECT("'"&amp;TEXT(MATCH(L$2,$C$2:$R$2,0),"00")&amp;"'!C"&amp;ROW()),0,$D$1-1,1,$F$1))))</f>
        <v>0</v>
      </c>
      <c r="M17" s="51">
        <f ca="1">LOOKUP(9.99999999999999E+307,CHOOSE({1,2},0,SUM(OFFSET(INDIRECT("'"&amp;TEXT(MATCH(M$2,$C$2:$R$2,0),"00")&amp;"'!C"&amp;ROW()),0,$D$1-1,1,$F$1))))</f>
        <v>0</v>
      </c>
      <c r="N17" s="51">
        <f ca="1">LOOKUP(9.99999999999999E+307,CHOOSE({1,2},0,SUM(OFFSET(INDIRECT("'"&amp;TEXT(MATCH(N$2,$C$2:$R$2,0),"00")&amp;"'!C"&amp;ROW()),0,$D$1-1,1,$F$1))))</f>
        <v>0</v>
      </c>
      <c r="O17" s="51">
        <f ca="1">LOOKUP(9.99999999999999E+307,CHOOSE({1,2},0,SUM(OFFSET(INDIRECT("'"&amp;TEXT(MATCH(O$2,$C$2:$R$2,0),"00")&amp;"'!C"&amp;ROW()),0,$D$1-1,1,$F$1))))</f>
        <v>0</v>
      </c>
      <c r="P17" s="51">
        <f ca="1">LOOKUP(9.99999999999999E+307,CHOOSE({1,2},0,SUM(OFFSET(INDIRECT("'"&amp;TEXT(MATCH(P$2,$C$2:$R$2,0),"00")&amp;"'!C"&amp;ROW()),0,$D$1-1,1,$F$1))))</f>
        <v>0</v>
      </c>
      <c r="Q17" s="51">
        <f ca="1">LOOKUP(9.99999999999999E+307,CHOOSE({1,2},0,SUM(OFFSET(INDIRECT("'"&amp;TEXT(MATCH(Q$2,$C$2:$R$2,0),"00")&amp;"'!C"&amp;ROW()),0,$D$1-1,1,$F$1))))</f>
        <v>0</v>
      </c>
      <c r="R17" s="51">
        <f ca="1">LOOKUP(9.99999999999999E+307,CHOOSE({1,2},0,SUM(OFFSET(INDIRECT("'"&amp;TEXT(MATCH(R$2,$C$2:$R$2,0),"00")&amp;"'!C"&amp;ROW()),0,$D$1-1,1,$F$1))))</f>
        <v>0</v>
      </c>
    </row>
    <row r="18" spans="1:18">
      <c r="A18" s="16" t="s">
        <v>18</v>
      </c>
      <c r="B18" s="23">
        <f t="shared" ca="1" si="0"/>
        <v>139154</v>
      </c>
      <c r="C18" s="51">
        <f ca="1">LOOKUP(9.99999999999999E+307,CHOOSE({1,2},0,SUM(OFFSET(INDIRECT("'"&amp;TEXT(MATCH(C$2,$C$2:$R$2,0),"00")&amp;"'!C"&amp;ROW()),0,$D$1-1,1,$F$1))))</f>
        <v>0</v>
      </c>
      <c r="D18" s="51">
        <f ca="1">LOOKUP(9.99999999999999E+307,CHOOSE({1,2},0,SUM(OFFSET(INDIRECT("'"&amp;TEXT(MATCH(D$2,$C$2:$R$2,0),"00")&amp;"'!C"&amp;ROW()),0,$D$1-1,1,$F$1))))</f>
        <v>0</v>
      </c>
      <c r="E18" s="51">
        <f ca="1">LOOKUP(9.99999999999999E+307,CHOOSE({1,2},0,SUM(OFFSET(INDIRECT("'"&amp;TEXT(MATCH(E$2,$C$2:$R$2,0),"00")&amp;"'!C"&amp;ROW()),0,$D$1-1,1,$F$1))))</f>
        <v>0</v>
      </c>
      <c r="F18" s="51">
        <f ca="1">LOOKUP(9.99999999999999E+307,CHOOSE({1,2},0,SUM(OFFSET(INDIRECT("'"&amp;TEXT(MATCH(F$2,$C$2:$R$2,0),"00")&amp;"'!C"&amp;ROW()),0,$D$1-1,1,$F$1))))</f>
        <v>0</v>
      </c>
      <c r="G18" s="51">
        <f ca="1">LOOKUP(9.99999999999999E+307,CHOOSE({1,2},0,SUM(OFFSET(INDIRECT("'"&amp;TEXT(MATCH(G$2,$C$2:$R$2,0),"00")&amp;"'!C"&amp;ROW()),0,$D$1-1,1,$F$1))))</f>
        <v>0</v>
      </c>
      <c r="H18" s="51">
        <f ca="1">LOOKUP(9.99999999999999E+307,CHOOSE({1,2},0,SUM(OFFSET(INDIRECT("'"&amp;TEXT(MATCH(H$2,$C$2:$R$2,0),"00")&amp;"'!C"&amp;ROW()),0,$D$1-1,1,$F$1))))</f>
        <v>0</v>
      </c>
      <c r="I18" s="51">
        <f ca="1">LOOKUP(9.99999999999999E+307,CHOOSE({1,2},0,SUM(OFFSET(INDIRECT("'"&amp;TEXT(MATCH(I$2,$C$2:$R$2,0),"00")&amp;"'!C"&amp;ROW()),0,$D$1-1,1,$F$1))))</f>
        <v>0</v>
      </c>
      <c r="J18" s="51">
        <f ca="1">LOOKUP(9.99999999999999E+307,CHOOSE({1,2},0,SUM(OFFSET(INDIRECT("'"&amp;TEXT(MATCH(J$2,$C$2:$R$2,0),"00")&amp;"'!C"&amp;ROW()),0,$D$1-1,1,$F$1))))</f>
        <v>0</v>
      </c>
      <c r="K18" s="51">
        <f ca="1">LOOKUP(9.99999999999999E+307,CHOOSE({1,2},0,SUM(OFFSET(INDIRECT("'"&amp;TEXT(MATCH(K$2,$C$2:$R$2,0),"00")&amp;"'!C"&amp;ROW()),0,$D$1-1,1,$F$1))))</f>
        <v>0</v>
      </c>
      <c r="L18" s="51">
        <f ca="1">LOOKUP(9.99999999999999E+307,CHOOSE({1,2},0,SUM(OFFSET(INDIRECT("'"&amp;TEXT(MATCH(L$2,$C$2:$R$2,0),"00")&amp;"'!C"&amp;ROW()),0,$D$1-1,1,$F$1))))</f>
        <v>0</v>
      </c>
      <c r="M18" s="51">
        <f ca="1">LOOKUP(9.99999999999999E+307,CHOOSE({1,2},0,SUM(OFFSET(INDIRECT("'"&amp;TEXT(MATCH(M$2,$C$2:$R$2,0),"00")&amp;"'!C"&amp;ROW()),0,$D$1-1,1,$F$1))))</f>
        <v>0</v>
      </c>
      <c r="N18" s="51">
        <f ca="1">LOOKUP(9.99999999999999E+307,CHOOSE({1,2},0,SUM(OFFSET(INDIRECT("'"&amp;TEXT(MATCH(N$2,$C$2:$R$2,0),"00")&amp;"'!C"&amp;ROW()),0,$D$1-1,1,$F$1))))</f>
        <v>0</v>
      </c>
      <c r="O18" s="51">
        <f ca="1">LOOKUP(9.99999999999999E+307,CHOOSE({1,2},0,SUM(OFFSET(INDIRECT("'"&amp;TEXT(MATCH(O$2,$C$2:$R$2,0),"00")&amp;"'!C"&amp;ROW()),0,$D$1-1,1,$F$1))))</f>
        <v>0</v>
      </c>
      <c r="P18" s="51">
        <f ca="1">LOOKUP(9.99999999999999E+307,CHOOSE({1,2},0,SUM(OFFSET(INDIRECT("'"&amp;TEXT(MATCH(P$2,$C$2:$R$2,0),"00")&amp;"'!C"&amp;ROW()),0,$D$1-1,1,$F$1))))</f>
        <v>0</v>
      </c>
      <c r="Q18" s="51">
        <f ca="1">LOOKUP(9.99999999999999E+307,CHOOSE({1,2},0,SUM(OFFSET(INDIRECT("'"&amp;TEXT(MATCH(Q$2,$C$2:$R$2,0),"00")&amp;"'!C"&amp;ROW()),0,$D$1-1,1,$F$1))))</f>
        <v>0</v>
      </c>
      <c r="R18" s="51">
        <f ca="1">LOOKUP(9.99999999999999E+307,CHOOSE({1,2},0,SUM(OFFSET(INDIRECT("'"&amp;TEXT(MATCH(R$2,$C$2:$R$2,0),"00")&amp;"'!C"&amp;ROW()),0,$D$1-1,1,$F$1))))</f>
        <v>0</v>
      </c>
    </row>
    <row r="19" spans="1:18">
      <c r="A19" s="16" t="s">
        <v>19</v>
      </c>
      <c r="B19" s="23">
        <f t="shared" ca="1" si="0"/>
        <v>8400</v>
      </c>
      <c r="C19" s="51">
        <f ca="1">LOOKUP(9.99999999999999E+307,CHOOSE({1,2},0,SUM(OFFSET(INDIRECT("'"&amp;TEXT(MATCH(C$2,$C$2:$R$2,0),"00")&amp;"'!C"&amp;ROW()),0,$D$1-1,1,$F$1))))</f>
        <v>0</v>
      </c>
      <c r="D19" s="51">
        <f ca="1">LOOKUP(9.99999999999999E+307,CHOOSE({1,2},0,SUM(OFFSET(INDIRECT("'"&amp;TEXT(MATCH(D$2,$C$2:$R$2,0),"00")&amp;"'!C"&amp;ROW()),0,$D$1-1,1,$F$1))))</f>
        <v>0</v>
      </c>
      <c r="E19" s="51">
        <f ca="1">LOOKUP(9.99999999999999E+307,CHOOSE({1,2},0,SUM(OFFSET(INDIRECT("'"&amp;TEXT(MATCH(E$2,$C$2:$R$2,0),"00")&amp;"'!C"&amp;ROW()),0,$D$1-1,1,$F$1))))</f>
        <v>0</v>
      </c>
      <c r="F19" s="51">
        <f ca="1">LOOKUP(9.99999999999999E+307,CHOOSE({1,2},0,SUM(OFFSET(INDIRECT("'"&amp;TEXT(MATCH(F$2,$C$2:$R$2,0),"00")&amp;"'!C"&amp;ROW()),0,$D$1-1,1,$F$1))))</f>
        <v>0</v>
      </c>
      <c r="G19" s="51">
        <f ca="1">LOOKUP(9.99999999999999E+307,CHOOSE({1,2},0,SUM(OFFSET(INDIRECT("'"&amp;TEXT(MATCH(G$2,$C$2:$R$2,0),"00")&amp;"'!C"&amp;ROW()),0,$D$1-1,1,$F$1))))</f>
        <v>0</v>
      </c>
      <c r="H19" s="51">
        <f ca="1">LOOKUP(9.99999999999999E+307,CHOOSE({1,2},0,SUM(OFFSET(INDIRECT("'"&amp;TEXT(MATCH(H$2,$C$2:$R$2,0),"00")&amp;"'!C"&amp;ROW()),0,$D$1-1,1,$F$1))))</f>
        <v>0</v>
      </c>
      <c r="I19" s="51">
        <f ca="1">LOOKUP(9.99999999999999E+307,CHOOSE({1,2},0,SUM(OFFSET(INDIRECT("'"&amp;TEXT(MATCH(I$2,$C$2:$R$2,0),"00")&amp;"'!C"&amp;ROW()),0,$D$1-1,1,$F$1))))</f>
        <v>0</v>
      </c>
      <c r="J19" s="51">
        <f ca="1">LOOKUP(9.99999999999999E+307,CHOOSE({1,2},0,SUM(OFFSET(INDIRECT("'"&amp;TEXT(MATCH(J$2,$C$2:$R$2,0),"00")&amp;"'!C"&amp;ROW()),0,$D$1-1,1,$F$1))))</f>
        <v>0</v>
      </c>
      <c r="K19" s="51">
        <f ca="1">LOOKUP(9.99999999999999E+307,CHOOSE({1,2},0,SUM(OFFSET(INDIRECT("'"&amp;TEXT(MATCH(K$2,$C$2:$R$2,0),"00")&amp;"'!C"&amp;ROW()),0,$D$1-1,1,$F$1))))</f>
        <v>0</v>
      </c>
      <c r="L19" s="51">
        <f ca="1">LOOKUP(9.99999999999999E+307,CHOOSE({1,2},0,SUM(OFFSET(INDIRECT("'"&amp;TEXT(MATCH(L$2,$C$2:$R$2,0),"00")&amp;"'!C"&amp;ROW()),0,$D$1-1,1,$F$1))))</f>
        <v>0</v>
      </c>
      <c r="M19" s="51">
        <f ca="1">LOOKUP(9.99999999999999E+307,CHOOSE({1,2},0,SUM(OFFSET(INDIRECT("'"&amp;TEXT(MATCH(M$2,$C$2:$R$2,0),"00")&amp;"'!C"&amp;ROW()),0,$D$1-1,1,$F$1))))</f>
        <v>0</v>
      </c>
      <c r="N19" s="51">
        <f ca="1">LOOKUP(9.99999999999999E+307,CHOOSE({1,2},0,SUM(OFFSET(INDIRECT("'"&amp;TEXT(MATCH(N$2,$C$2:$R$2,0),"00")&amp;"'!C"&amp;ROW()),0,$D$1-1,1,$F$1))))</f>
        <v>0</v>
      </c>
      <c r="O19" s="51">
        <f ca="1">LOOKUP(9.99999999999999E+307,CHOOSE({1,2},0,SUM(OFFSET(INDIRECT("'"&amp;TEXT(MATCH(O$2,$C$2:$R$2,0),"00")&amp;"'!C"&amp;ROW()),0,$D$1-1,1,$F$1))))</f>
        <v>0</v>
      </c>
      <c r="P19" s="51">
        <f ca="1">LOOKUP(9.99999999999999E+307,CHOOSE({1,2},0,SUM(OFFSET(INDIRECT("'"&amp;TEXT(MATCH(P$2,$C$2:$R$2,0),"00")&amp;"'!C"&amp;ROW()),0,$D$1-1,1,$F$1))))</f>
        <v>0</v>
      </c>
      <c r="Q19" s="51">
        <f ca="1">LOOKUP(9.99999999999999E+307,CHOOSE({1,2},0,SUM(OFFSET(INDIRECT("'"&amp;TEXT(MATCH(Q$2,$C$2:$R$2,0),"00")&amp;"'!C"&amp;ROW()),0,$D$1-1,1,$F$1))))</f>
        <v>0</v>
      </c>
      <c r="R19" s="51">
        <f ca="1">LOOKUP(9.99999999999999E+307,CHOOSE({1,2},0,SUM(OFFSET(INDIRECT("'"&amp;TEXT(MATCH(R$2,$C$2:$R$2,0),"00")&amp;"'!C"&amp;ROW()),0,$D$1-1,1,$F$1))))</f>
        <v>0</v>
      </c>
    </row>
    <row r="20" spans="1:18">
      <c r="A20" s="16" t="s">
        <v>20</v>
      </c>
      <c r="B20" s="23">
        <f t="shared" ca="1" si="0"/>
        <v>15920</v>
      </c>
      <c r="C20" s="51">
        <f ca="1">LOOKUP(9.99999999999999E+307,CHOOSE({1,2},0,SUM(OFFSET(INDIRECT("'"&amp;TEXT(MATCH(C$2,$C$2:$R$2,0),"00")&amp;"'!C"&amp;ROW()),0,$D$1-1,1,$F$1))))</f>
        <v>0</v>
      </c>
      <c r="D20" s="51">
        <f ca="1">LOOKUP(9.99999999999999E+307,CHOOSE({1,2},0,SUM(OFFSET(INDIRECT("'"&amp;TEXT(MATCH(D$2,$C$2:$R$2,0),"00")&amp;"'!C"&amp;ROW()),0,$D$1-1,1,$F$1))))</f>
        <v>0</v>
      </c>
      <c r="E20" s="51">
        <f ca="1">LOOKUP(9.99999999999999E+307,CHOOSE({1,2},0,SUM(OFFSET(INDIRECT("'"&amp;TEXT(MATCH(E$2,$C$2:$R$2,0),"00")&amp;"'!C"&amp;ROW()),0,$D$1-1,1,$F$1))))</f>
        <v>0</v>
      </c>
      <c r="F20" s="51">
        <f ca="1">LOOKUP(9.99999999999999E+307,CHOOSE({1,2},0,SUM(OFFSET(INDIRECT("'"&amp;TEXT(MATCH(F$2,$C$2:$R$2,0),"00")&amp;"'!C"&amp;ROW()),0,$D$1-1,1,$F$1))))</f>
        <v>0</v>
      </c>
      <c r="G20" s="51">
        <f ca="1">LOOKUP(9.99999999999999E+307,CHOOSE({1,2},0,SUM(OFFSET(INDIRECT("'"&amp;TEXT(MATCH(G$2,$C$2:$R$2,0),"00")&amp;"'!C"&amp;ROW()),0,$D$1-1,1,$F$1))))</f>
        <v>0</v>
      </c>
      <c r="H20" s="51">
        <f ca="1">LOOKUP(9.99999999999999E+307,CHOOSE({1,2},0,SUM(OFFSET(INDIRECT("'"&amp;TEXT(MATCH(H$2,$C$2:$R$2,0),"00")&amp;"'!C"&amp;ROW()),0,$D$1-1,1,$F$1))))</f>
        <v>0</v>
      </c>
      <c r="I20" s="51">
        <f ca="1">LOOKUP(9.99999999999999E+307,CHOOSE({1,2},0,SUM(OFFSET(INDIRECT("'"&amp;TEXT(MATCH(I$2,$C$2:$R$2,0),"00")&amp;"'!C"&amp;ROW()),0,$D$1-1,1,$F$1))))</f>
        <v>0</v>
      </c>
      <c r="J20" s="51">
        <f ca="1">LOOKUP(9.99999999999999E+307,CHOOSE({1,2},0,SUM(OFFSET(INDIRECT("'"&amp;TEXT(MATCH(J$2,$C$2:$R$2,0),"00")&amp;"'!C"&amp;ROW()),0,$D$1-1,1,$F$1))))</f>
        <v>0</v>
      </c>
      <c r="K20" s="51">
        <f ca="1">LOOKUP(9.99999999999999E+307,CHOOSE({1,2},0,SUM(OFFSET(INDIRECT("'"&amp;TEXT(MATCH(K$2,$C$2:$R$2,0),"00")&amp;"'!C"&amp;ROW()),0,$D$1-1,1,$F$1))))</f>
        <v>0</v>
      </c>
      <c r="L20" s="51">
        <f ca="1">LOOKUP(9.99999999999999E+307,CHOOSE({1,2},0,SUM(OFFSET(INDIRECT("'"&amp;TEXT(MATCH(L$2,$C$2:$R$2,0),"00")&amp;"'!C"&amp;ROW()),0,$D$1-1,1,$F$1))))</f>
        <v>0</v>
      </c>
      <c r="M20" s="51">
        <f ca="1">LOOKUP(9.99999999999999E+307,CHOOSE({1,2},0,SUM(OFFSET(INDIRECT("'"&amp;TEXT(MATCH(M$2,$C$2:$R$2,0),"00")&amp;"'!C"&amp;ROW()),0,$D$1-1,1,$F$1))))</f>
        <v>0</v>
      </c>
      <c r="N20" s="51">
        <f ca="1">LOOKUP(9.99999999999999E+307,CHOOSE({1,2},0,SUM(OFFSET(INDIRECT("'"&amp;TEXT(MATCH(N$2,$C$2:$R$2,0),"00")&amp;"'!C"&amp;ROW()),0,$D$1-1,1,$F$1))))</f>
        <v>0</v>
      </c>
      <c r="O20" s="51">
        <f ca="1">LOOKUP(9.99999999999999E+307,CHOOSE({1,2},0,SUM(OFFSET(INDIRECT("'"&amp;TEXT(MATCH(O$2,$C$2:$R$2,0),"00")&amp;"'!C"&amp;ROW()),0,$D$1-1,1,$F$1))))</f>
        <v>0</v>
      </c>
      <c r="P20" s="51">
        <f ca="1">LOOKUP(9.99999999999999E+307,CHOOSE({1,2},0,SUM(OFFSET(INDIRECT("'"&amp;TEXT(MATCH(P$2,$C$2:$R$2,0),"00")&amp;"'!C"&amp;ROW()),0,$D$1-1,1,$F$1))))</f>
        <v>0</v>
      </c>
      <c r="Q20" s="51">
        <f ca="1">LOOKUP(9.99999999999999E+307,CHOOSE({1,2},0,SUM(OFFSET(INDIRECT("'"&amp;TEXT(MATCH(Q$2,$C$2:$R$2,0),"00")&amp;"'!C"&amp;ROW()),0,$D$1-1,1,$F$1))))</f>
        <v>0</v>
      </c>
      <c r="R20" s="51">
        <f ca="1">LOOKUP(9.99999999999999E+307,CHOOSE({1,2},0,SUM(OFFSET(INDIRECT("'"&amp;TEXT(MATCH(R$2,$C$2:$R$2,0),"00")&amp;"'!C"&amp;ROW()),0,$D$1-1,1,$F$1))))</f>
        <v>0</v>
      </c>
    </row>
    <row r="21" spans="1:18">
      <c r="A21" s="16" t="s">
        <v>21</v>
      </c>
      <c r="B21" s="23">
        <f t="shared" ca="1" si="0"/>
        <v>0</v>
      </c>
      <c r="C21" s="51">
        <f ca="1">LOOKUP(9.99999999999999E+307,CHOOSE({1,2},0,SUM(OFFSET(INDIRECT("'"&amp;TEXT(MATCH(C$2,$C$2:$R$2,0),"00")&amp;"'!C"&amp;ROW()),0,$D$1-1,1,$F$1))))</f>
        <v>0</v>
      </c>
      <c r="D21" s="51">
        <f ca="1">LOOKUP(9.99999999999999E+307,CHOOSE({1,2},0,SUM(OFFSET(INDIRECT("'"&amp;TEXT(MATCH(D$2,$C$2:$R$2,0),"00")&amp;"'!C"&amp;ROW()),0,$D$1-1,1,$F$1))))</f>
        <v>0</v>
      </c>
      <c r="E21" s="51">
        <f ca="1">LOOKUP(9.99999999999999E+307,CHOOSE({1,2},0,SUM(OFFSET(INDIRECT("'"&amp;TEXT(MATCH(E$2,$C$2:$R$2,0),"00")&amp;"'!C"&amp;ROW()),0,$D$1-1,1,$F$1))))</f>
        <v>0</v>
      </c>
      <c r="F21" s="51">
        <f ca="1">LOOKUP(9.99999999999999E+307,CHOOSE({1,2},0,SUM(OFFSET(INDIRECT("'"&amp;TEXT(MATCH(F$2,$C$2:$R$2,0),"00")&amp;"'!C"&amp;ROW()),0,$D$1-1,1,$F$1))))</f>
        <v>0</v>
      </c>
      <c r="G21" s="51">
        <f ca="1">LOOKUP(9.99999999999999E+307,CHOOSE({1,2},0,SUM(OFFSET(INDIRECT("'"&amp;TEXT(MATCH(G$2,$C$2:$R$2,0),"00")&amp;"'!C"&amp;ROW()),0,$D$1-1,1,$F$1))))</f>
        <v>0</v>
      </c>
      <c r="H21" s="51">
        <f ca="1">LOOKUP(9.99999999999999E+307,CHOOSE({1,2},0,SUM(OFFSET(INDIRECT("'"&amp;TEXT(MATCH(H$2,$C$2:$R$2,0),"00")&amp;"'!C"&amp;ROW()),0,$D$1-1,1,$F$1))))</f>
        <v>0</v>
      </c>
      <c r="I21" s="51">
        <f ca="1">LOOKUP(9.99999999999999E+307,CHOOSE({1,2},0,SUM(OFFSET(INDIRECT("'"&amp;TEXT(MATCH(I$2,$C$2:$R$2,0),"00")&amp;"'!C"&amp;ROW()),0,$D$1-1,1,$F$1))))</f>
        <v>0</v>
      </c>
      <c r="J21" s="51">
        <f ca="1">LOOKUP(9.99999999999999E+307,CHOOSE({1,2},0,SUM(OFFSET(INDIRECT("'"&amp;TEXT(MATCH(J$2,$C$2:$R$2,0),"00")&amp;"'!C"&amp;ROW()),0,$D$1-1,1,$F$1))))</f>
        <v>0</v>
      </c>
      <c r="K21" s="51">
        <f ca="1">LOOKUP(9.99999999999999E+307,CHOOSE({1,2},0,SUM(OFFSET(INDIRECT("'"&amp;TEXT(MATCH(K$2,$C$2:$R$2,0),"00")&amp;"'!C"&amp;ROW()),0,$D$1-1,1,$F$1))))</f>
        <v>0</v>
      </c>
      <c r="L21" s="51">
        <f ca="1">LOOKUP(9.99999999999999E+307,CHOOSE({1,2},0,SUM(OFFSET(INDIRECT("'"&amp;TEXT(MATCH(L$2,$C$2:$R$2,0),"00")&amp;"'!C"&amp;ROW()),0,$D$1-1,1,$F$1))))</f>
        <v>0</v>
      </c>
      <c r="M21" s="51">
        <f ca="1">LOOKUP(9.99999999999999E+307,CHOOSE({1,2},0,SUM(OFFSET(INDIRECT("'"&amp;TEXT(MATCH(M$2,$C$2:$R$2,0),"00")&amp;"'!C"&amp;ROW()),0,$D$1-1,1,$F$1))))</f>
        <v>0</v>
      </c>
      <c r="N21" s="51">
        <f ca="1">LOOKUP(9.99999999999999E+307,CHOOSE({1,2},0,SUM(OFFSET(INDIRECT("'"&amp;TEXT(MATCH(N$2,$C$2:$R$2,0),"00")&amp;"'!C"&amp;ROW()),0,$D$1-1,1,$F$1))))</f>
        <v>0</v>
      </c>
      <c r="O21" s="51">
        <f ca="1">LOOKUP(9.99999999999999E+307,CHOOSE({1,2},0,SUM(OFFSET(INDIRECT("'"&amp;TEXT(MATCH(O$2,$C$2:$R$2,0),"00")&amp;"'!C"&amp;ROW()),0,$D$1-1,1,$F$1))))</f>
        <v>0</v>
      </c>
      <c r="P21" s="51">
        <f ca="1">LOOKUP(9.99999999999999E+307,CHOOSE({1,2},0,SUM(OFFSET(INDIRECT("'"&amp;TEXT(MATCH(P$2,$C$2:$R$2,0),"00")&amp;"'!C"&amp;ROW()),0,$D$1-1,1,$F$1))))</f>
        <v>0</v>
      </c>
      <c r="Q21" s="51">
        <f ca="1">LOOKUP(9.99999999999999E+307,CHOOSE({1,2},0,SUM(OFFSET(INDIRECT("'"&amp;TEXT(MATCH(Q$2,$C$2:$R$2,0),"00")&amp;"'!C"&amp;ROW()),0,$D$1-1,1,$F$1))))</f>
        <v>0</v>
      </c>
      <c r="R21" s="51">
        <f ca="1">LOOKUP(9.99999999999999E+307,CHOOSE({1,2},0,SUM(OFFSET(INDIRECT("'"&amp;TEXT(MATCH(R$2,$C$2:$R$2,0),"00")&amp;"'!C"&amp;ROW()),0,$D$1-1,1,$F$1))))</f>
        <v>0</v>
      </c>
    </row>
    <row r="22" spans="1:18">
      <c r="A22" s="16" t="s">
        <v>22</v>
      </c>
      <c r="B22" s="23">
        <f t="shared" ca="1" si="0"/>
        <v>0</v>
      </c>
      <c r="C22" s="51">
        <f ca="1">LOOKUP(9.99999999999999E+307,CHOOSE({1,2},0,SUM(OFFSET(INDIRECT("'"&amp;TEXT(MATCH(C$2,$C$2:$R$2,0),"00")&amp;"'!C"&amp;ROW()),0,$D$1-1,1,$F$1))))</f>
        <v>0</v>
      </c>
      <c r="D22" s="51">
        <f ca="1">LOOKUP(9.99999999999999E+307,CHOOSE({1,2},0,SUM(OFFSET(INDIRECT("'"&amp;TEXT(MATCH(D$2,$C$2:$R$2,0),"00")&amp;"'!C"&amp;ROW()),0,$D$1-1,1,$F$1))))</f>
        <v>0</v>
      </c>
      <c r="E22" s="51">
        <f ca="1">LOOKUP(9.99999999999999E+307,CHOOSE({1,2},0,SUM(OFFSET(INDIRECT("'"&amp;TEXT(MATCH(E$2,$C$2:$R$2,0),"00")&amp;"'!C"&amp;ROW()),0,$D$1-1,1,$F$1))))</f>
        <v>0</v>
      </c>
      <c r="F22" s="51">
        <f ca="1">LOOKUP(9.99999999999999E+307,CHOOSE({1,2},0,SUM(OFFSET(INDIRECT("'"&amp;TEXT(MATCH(F$2,$C$2:$R$2,0),"00")&amp;"'!C"&amp;ROW()),0,$D$1-1,1,$F$1))))</f>
        <v>0</v>
      </c>
      <c r="G22" s="51">
        <f ca="1">LOOKUP(9.99999999999999E+307,CHOOSE({1,2},0,SUM(OFFSET(INDIRECT("'"&amp;TEXT(MATCH(G$2,$C$2:$R$2,0),"00")&amp;"'!C"&amp;ROW()),0,$D$1-1,1,$F$1))))</f>
        <v>0</v>
      </c>
      <c r="H22" s="51">
        <f ca="1">LOOKUP(9.99999999999999E+307,CHOOSE({1,2},0,SUM(OFFSET(INDIRECT("'"&amp;TEXT(MATCH(H$2,$C$2:$R$2,0),"00")&amp;"'!C"&amp;ROW()),0,$D$1-1,1,$F$1))))</f>
        <v>0</v>
      </c>
      <c r="I22" s="51">
        <f ca="1">LOOKUP(9.99999999999999E+307,CHOOSE({1,2},0,SUM(OFFSET(INDIRECT("'"&amp;TEXT(MATCH(I$2,$C$2:$R$2,0),"00")&amp;"'!C"&amp;ROW()),0,$D$1-1,1,$F$1))))</f>
        <v>0</v>
      </c>
      <c r="J22" s="51">
        <f ca="1">LOOKUP(9.99999999999999E+307,CHOOSE({1,2},0,SUM(OFFSET(INDIRECT("'"&amp;TEXT(MATCH(J$2,$C$2:$R$2,0),"00")&amp;"'!C"&amp;ROW()),0,$D$1-1,1,$F$1))))</f>
        <v>0</v>
      </c>
      <c r="K22" s="51">
        <f ca="1">LOOKUP(9.99999999999999E+307,CHOOSE({1,2},0,SUM(OFFSET(INDIRECT("'"&amp;TEXT(MATCH(K$2,$C$2:$R$2,0),"00")&amp;"'!C"&amp;ROW()),0,$D$1-1,1,$F$1))))</f>
        <v>0</v>
      </c>
      <c r="L22" s="51">
        <f ca="1">LOOKUP(9.99999999999999E+307,CHOOSE({1,2},0,SUM(OFFSET(INDIRECT("'"&amp;TEXT(MATCH(L$2,$C$2:$R$2,0),"00")&amp;"'!C"&amp;ROW()),0,$D$1-1,1,$F$1))))</f>
        <v>0</v>
      </c>
      <c r="M22" s="51">
        <f ca="1">LOOKUP(9.99999999999999E+307,CHOOSE({1,2},0,SUM(OFFSET(INDIRECT("'"&amp;TEXT(MATCH(M$2,$C$2:$R$2,0),"00")&amp;"'!C"&amp;ROW()),0,$D$1-1,1,$F$1))))</f>
        <v>0</v>
      </c>
      <c r="N22" s="51">
        <f ca="1">LOOKUP(9.99999999999999E+307,CHOOSE({1,2},0,SUM(OFFSET(INDIRECT("'"&amp;TEXT(MATCH(N$2,$C$2:$R$2,0),"00")&amp;"'!C"&amp;ROW()),0,$D$1-1,1,$F$1))))</f>
        <v>0</v>
      </c>
      <c r="O22" s="51">
        <f ca="1">LOOKUP(9.99999999999999E+307,CHOOSE({1,2},0,SUM(OFFSET(INDIRECT("'"&amp;TEXT(MATCH(O$2,$C$2:$R$2,0),"00")&amp;"'!C"&amp;ROW()),0,$D$1-1,1,$F$1))))</f>
        <v>0</v>
      </c>
      <c r="P22" s="51">
        <f ca="1">LOOKUP(9.99999999999999E+307,CHOOSE({1,2},0,SUM(OFFSET(INDIRECT("'"&amp;TEXT(MATCH(P$2,$C$2:$R$2,0),"00")&amp;"'!C"&amp;ROW()),0,$D$1-1,1,$F$1))))</f>
        <v>0</v>
      </c>
      <c r="Q22" s="51">
        <f ca="1">LOOKUP(9.99999999999999E+307,CHOOSE({1,2},0,SUM(OFFSET(INDIRECT("'"&amp;TEXT(MATCH(Q$2,$C$2:$R$2,0),"00")&amp;"'!C"&amp;ROW()),0,$D$1-1,1,$F$1))))</f>
        <v>0</v>
      </c>
      <c r="R22" s="51">
        <f ca="1">LOOKUP(9.99999999999999E+307,CHOOSE({1,2},0,SUM(OFFSET(INDIRECT("'"&amp;TEXT(MATCH(R$2,$C$2:$R$2,0),"00")&amp;"'!C"&amp;ROW()),0,$D$1-1,1,$F$1))))</f>
        <v>0</v>
      </c>
    </row>
    <row r="23" spans="1:18">
      <c r="A23" s="17" t="s">
        <v>25</v>
      </c>
      <c r="B23" s="23">
        <f t="shared" ca="1" si="0"/>
        <v>-31400</v>
      </c>
      <c r="C23" s="51">
        <f ca="1">LOOKUP(9.99999999999999E+307,CHOOSE({1,2},0,SUM(OFFSET(INDIRECT("'"&amp;TEXT(MATCH(C$2,$C$2:$R$2,0),"00")&amp;"'!C"&amp;ROW()),0,$D$1-1,1,$F$1))))</f>
        <v>0</v>
      </c>
      <c r="D23" s="51">
        <f ca="1">LOOKUP(9.99999999999999E+307,CHOOSE({1,2},0,SUM(OFFSET(INDIRECT("'"&amp;TEXT(MATCH(D$2,$C$2:$R$2,0),"00")&amp;"'!C"&amp;ROW()),0,$D$1-1,1,$F$1))))</f>
        <v>0</v>
      </c>
      <c r="E23" s="51">
        <f ca="1">LOOKUP(9.99999999999999E+307,CHOOSE({1,2},0,SUM(OFFSET(INDIRECT("'"&amp;TEXT(MATCH(E$2,$C$2:$R$2,0),"00")&amp;"'!C"&amp;ROW()),0,$D$1-1,1,$F$1))))</f>
        <v>0</v>
      </c>
      <c r="F23" s="51">
        <f ca="1">LOOKUP(9.99999999999999E+307,CHOOSE({1,2},0,SUM(OFFSET(INDIRECT("'"&amp;TEXT(MATCH(F$2,$C$2:$R$2,0),"00")&amp;"'!C"&amp;ROW()),0,$D$1-1,1,$F$1))))</f>
        <v>0</v>
      </c>
      <c r="G23" s="51">
        <f ca="1">LOOKUP(9.99999999999999E+307,CHOOSE({1,2},0,SUM(OFFSET(INDIRECT("'"&amp;TEXT(MATCH(G$2,$C$2:$R$2,0),"00")&amp;"'!C"&amp;ROW()),0,$D$1-1,1,$F$1))))</f>
        <v>0</v>
      </c>
      <c r="H23" s="51">
        <f ca="1">LOOKUP(9.99999999999999E+307,CHOOSE({1,2},0,SUM(OFFSET(INDIRECT("'"&amp;TEXT(MATCH(H$2,$C$2:$R$2,0),"00")&amp;"'!C"&amp;ROW()),0,$D$1-1,1,$F$1))))</f>
        <v>0</v>
      </c>
      <c r="I23" s="51">
        <f ca="1">LOOKUP(9.99999999999999E+307,CHOOSE({1,2},0,SUM(OFFSET(INDIRECT("'"&amp;TEXT(MATCH(I$2,$C$2:$R$2,0),"00")&amp;"'!C"&amp;ROW()),0,$D$1-1,1,$F$1))))</f>
        <v>0</v>
      </c>
      <c r="J23" s="51">
        <f ca="1">LOOKUP(9.99999999999999E+307,CHOOSE({1,2},0,SUM(OFFSET(INDIRECT("'"&amp;TEXT(MATCH(J$2,$C$2:$R$2,0),"00")&amp;"'!C"&amp;ROW()),0,$D$1-1,1,$F$1))))</f>
        <v>0</v>
      </c>
      <c r="K23" s="51">
        <f ca="1">LOOKUP(9.99999999999999E+307,CHOOSE({1,2},0,SUM(OFFSET(INDIRECT("'"&amp;TEXT(MATCH(K$2,$C$2:$R$2,0),"00")&amp;"'!C"&amp;ROW()),0,$D$1-1,1,$F$1))))</f>
        <v>0</v>
      </c>
      <c r="L23" s="51">
        <f ca="1">LOOKUP(9.99999999999999E+307,CHOOSE({1,2},0,SUM(OFFSET(INDIRECT("'"&amp;TEXT(MATCH(L$2,$C$2:$R$2,0),"00")&amp;"'!C"&amp;ROW()),0,$D$1-1,1,$F$1))))</f>
        <v>0</v>
      </c>
      <c r="M23" s="51">
        <f ca="1">LOOKUP(9.99999999999999E+307,CHOOSE({1,2},0,SUM(OFFSET(INDIRECT("'"&amp;TEXT(MATCH(M$2,$C$2:$R$2,0),"00")&amp;"'!C"&amp;ROW()),0,$D$1-1,1,$F$1))))</f>
        <v>0</v>
      </c>
      <c r="N23" s="51">
        <f ca="1">LOOKUP(9.99999999999999E+307,CHOOSE({1,2},0,SUM(OFFSET(INDIRECT("'"&amp;TEXT(MATCH(N$2,$C$2:$R$2,0),"00")&amp;"'!C"&amp;ROW()),0,$D$1-1,1,$F$1))))</f>
        <v>0</v>
      </c>
      <c r="O23" s="51">
        <f ca="1">LOOKUP(9.99999999999999E+307,CHOOSE({1,2},0,SUM(OFFSET(INDIRECT("'"&amp;TEXT(MATCH(O$2,$C$2:$R$2,0),"00")&amp;"'!C"&amp;ROW()),0,$D$1-1,1,$F$1))))</f>
        <v>0</v>
      </c>
      <c r="P23" s="51">
        <f ca="1">LOOKUP(9.99999999999999E+307,CHOOSE({1,2},0,SUM(OFFSET(INDIRECT("'"&amp;TEXT(MATCH(P$2,$C$2:$R$2,0),"00")&amp;"'!C"&amp;ROW()),0,$D$1-1,1,$F$1))))</f>
        <v>0</v>
      </c>
      <c r="Q23" s="51">
        <f ca="1">LOOKUP(9.99999999999999E+307,CHOOSE({1,2},0,SUM(OFFSET(INDIRECT("'"&amp;TEXT(MATCH(Q$2,$C$2:$R$2,0),"00")&amp;"'!C"&amp;ROW()),0,$D$1-1,1,$F$1))))</f>
        <v>0</v>
      </c>
      <c r="R23" s="51">
        <f ca="1">LOOKUP(9.99999999999999E+307,CHOOSE({1,2},0,SUM(OFFSET(INDIRECT("'"&amp;TEXT(MATCH(R$2,$C$2:$R$2,0),"00")&amp;"'!C"&amp;ROW()),0,$D$1-1,1,$F$1))))</f>
        <v>0</v>
      </c>
    </row>
    <row r="24" spans="1:18" ht="20.100000000000001" customHeight="1">
      <c r="A24" s="15" t="s">
        <v>11</v>
      </c>
      <c r="B24" s="19">
        <f ca="1">SUM(B15:B23)</f>
        <v>1819682.58</v>
      </c>
      <c r="C24" s="51">
        <f ca="1">LOOKUP(9.99999999999999E+307,CHOOSE({1,2},0,SUM(OFFSET(INDIRECT("'"&amp;TEXT(MATCH(C$2,$C$2:$R$2,0),"00")&amp;"'!C"&amp;ROW()),0,$D$1-1,1,$F$1))))</f>
        <v>0</v>
      </c>
      <c r="D24" s="51">
        <f ca="1">LOOKUP(9.99999999999999E+307,CHOOSE({1,2},0,SUM(OFFSET(INDIRECT("'"&amp;TEXT(MATCH(D$2,$C$2:$R$2,0),"00")&amp;"'!C"&amp;ROW()),0,$D$1-1,1,$F$1))))</f>
        <v>0</v>
      </c>
      <c r="E24" s="51">
        <f ca="1">LOOKUP(9.99999999999999E+307,CHOOSE({1,2},0,SUM(OFFSET(INDIRECT("'"&amp;TEXT(MATCH(E$2,$C$2:$R$2,0),"00")&amp;"'!C"&amp;ROW()),0,$D$1-1,1,$F$1))))</f>
        <v>0</v>
      </c>
      <c r="F24" s="51">
        <f ca="1">LOOKUP(9.99999999999999E+307,CHOOSE({1,2},0,SUM(OFFSET(INDIRECT("'"&amp;TEXT(MATCH(F$2,$C$2:$R$2,0),"00")&amp;"'!C"&amp;ROW()),0,$D$1-1,1,$F$1))))</f>
        <v>0</v>
      </c>
      <c r="G24" s="51">
        <f ca="1">LOOKUP(9.99999999999999E+307,CHOOSE({1,2},0,SUM(OFFSET(INDIRECT("'"&amp;TEXT(MATCH(G$2,$C$2:$R$2,0),"00")&amp;"'!C"&amp;ROW()),0,$D$1-1,1,$F$1))))</f>
        <v>0</v>
      </c>
      <c r="H24" s="51">
        <f ca="1">LOOKUP(9.99999999999999E+307,CHOOSE({1,2},0,SUM(OFFSET(INDIRECT("'"&amp;TEXT(MATCH(H$2,$C$2:$R$2,0),"00")&amp;"'!C"&amp;ROW()),0,$D$1-1,1,$F$1))))</f>
        <v>0</v>
      </c>
      <c r="I24" s="51">
        <f ca="1">LOOKUP(9.99999999999999E+307,CHOOSE({1,2},0,SUM(OFFSET(INDIRECT("'"&amp;TEXT(MATCH(I$2,$C$2:$R$2,0),"00")&amp;"'!C"&amp;ROW()),0,$D$1-1,1,$F$1))))</f>
        <v>0</v>
      </c>
      <c r="J24" s="51">
        <f ca="1">LOOKUP(9.99999999999999E+307,CHOOSE({1,2},0,SUM(OFFSET(INDIRECT("'"&amp;TEXT(MATCH(J$2,$C$2:$R$2,0),"00")&amp;"'!C"&amp;ROW()),0,$D$1-1,1,$F$1))))</f>
        <v>0</v>
      </c>
      <c r="K24" s="51">
        <f ca="1">LOOKUP(9.99999999999999E+307,CHOOSE({1,2},0,SUM(OFFSET(INDIRECT("'"&amp;TEXT(MATCH(K$2,$C$2:$R$2,0),"00")&amp;"'!C"&amp;ROW()),0,$D$1-1,1,$F$1))))</f>
        <v>0</v>
      </c>
      <c r="L24" s="51">
        <f ca="1">LOOKUP(9.99999999999999E+307,CHOOSE({1,2},0,SUM(OFFSET(INDIRECT("'"&amp;TEXT(MATCH(L$2,$C$2:$R$2,0),"00")&amp;"'!C"&amp;ROW()),0,$D$1-1,1,$F$1))))</f>
        <v>0</v>
      </c>
      <c r="M24" s="51">
        <f ca="1">LOOKUP(9.99999999999999E+307,CHOOSE({1,2},0,SUM(OFFSET(INDIRECT("'"&amp;TEXT(MATCH(M$2,$C$2:$R$2,0),"00")&amp;"'!C"&amp;ROW()),0,$D$1-1,1,$F$1))))</f>
        <v>0</v>
      </c>
      <c r="N24" s="51">
        <f ca="1">LOOKUP(9.99999999999999E+307,CHOOSE({1,2},0,SUM(OFFSET(INDIRECT("'"&amp;TEXT(MATCH(N$2,$C$2:$R$2,0),"00")&amp;"'!C"&amp;ROW()),0,$D$1-1,1,$F$1))))</f>
        <v>0</v>
      </c>
      <c r="O24" s="51">
        <f ca="1">LOOKUP(9.99999999999999E+307,CHOOSE({1,2},0,SUM(OFFSET(INDIRECT("'"&amp;TEXT(MATCH(O$2,$C$2:$R$2,0),"00")&amp;"'!C"&amp;ROW()),0,$D$1-1,1,$F$1))))</f>
        <v>0</v>
      </c>
      <c r="P24" s="51">
        <f ca="1">LOOKUP(9.99999999999999E+307,CHOOSE({1,2},0,SUM(OFFSET(INDIRECT("'"&amp;TEXT(MATCH(P$2,$C$2:$R$2,0),"00")&amp;"'!C"&amp;ROW()),0,$D$1-1,1,$F$1))))</f>
        <v>0</v>
      </c>
      <c r="Q24" s="51">
        <f ca="1">LOOKUP(9.99999999999999E+307,CHOOSE({1,2},0,SUM(OFFSET(INDIRECT("'"&amp;TEXT(MATCH(Q$2,$C$2:$R$2,0),"00")&amp;"'!C"&amp;ROW()),0,$D$1-1,1,$F$1))))</f>
        <v>0</v>
      </c>
      <c r="R24" s="51">
        <f ca="1">LOOKUP(9.99999999999999E+307,CHOOSE({1,2},0,SUM(OFFSET(INDIRECT("'"&amp;TEXT(MATCH(R$2,$C$2:$R$2,0),"00")&amp;"'!C"&amp;ROW()),0,$D$1-1,1,$F$1))))</f>
        <v>0</v>
      </c>
    </row>
    <row r="25" spans="1:18" ht="20.100000000000001" customHeight="1" thickBot="1">
      <c r="A25" s="11" t="s">
        <v>24</v>
      </c>
      <c r="B25" s="20">
        <f ca="1">B10+B14-B24</f>
        <v>-337488.51000000024</v>
      </c>
      <c r="C25" s="51">
        <f ca="1">LOOKUP(9.99999999999999E+307,CHOOSE({1,2},0,SUM(OFFSET(INDIRECT("'"&amp;TEXT(MATCH(C$2,$C$2:$R$2,0),"00")&amp;"'!C"&amp;ROW()),0,$D$1-1,1,$F$1))))</f>
        <v>0</v>
      </c>
      <c r="D25" s="51">
        <f ca="1">LOOKUP(9.99999999999999E+307,CHOOSE({1,2},0,SUM(OFFSET(INDIRECT("'"&amp;TEXT(MATCH(D$2,$C$2:$R$2,0),"00")&amp;"'!C"&amp;ROW()),0,$D$1-1,1,$F$1))))</f>
        <v>0</v>
      </c>
      <c r="E25" s="51">
        <f ca="1">LOOKUP(9.99999999999999E+307,CHOOSE({1,2},0,SUM(OFFSET(INDIRECT("'"&amp;TEXT(MATCH(E$2,$C$2:$R$2,0),"00")&amp;"'!C"&amp;ROW()),0,$D$1-1,1,$F$1))))</f>
        <v>0</v>
      </c>
      <c r="F25" s="51">
        <f ca="1">LOOKUP(9.99999999999999E+307,CHOOSE({1,2},0,SUM(OFFSET(INDIRECT("'"&amp;TEXT(MATCH(F$2,$C$2:$R$2,0),"00")&amp;"'!C"&amp;ROW()),0,$D$1-1,1,$F$1))))</f>
        <v>0</v>
      </c>
      <c r="G25" s="51">
        <f ca="1">LOOKUP(9.99999999999999E+307,CHOOSE({1,2},0,SUM(OFFSET(INDIRECT("'"&amp;TEXT(MATCH(G$2,$C$2:$R$2,0),"00")&amp;"'!C"&amp;ROW()),0,$D$1-1,1,$F$1))))</f>
        <v>0</v>
      </c>
      <c r="H25" s="51">
        <f ca="1">LOOKUP(9.99999999999999E+307,CHOOSE({1,2},0,SUM(OFFSET(INDIRECT("'"&amp;TEXT(MATCH(H$2,$C$2:$R$2,0),"00")&amp;"'!C"&amp;ROW()),0,$D$1-1,1,$F$1))))</f>
        <v>0</v>
      </c>
      <c r="I25" s="51">
        <f ca="1">LOOKUP(9.99999999999999E+307,CHOOSE({1,2},0,SUM(OFFSET(INDIRECT("'"&amp;TEXT(MATCH(I$2,$C$2:$R$2,0),"00")&amp;"'!C"&amp;ROW()),0,$D$1-1,1,$F$1))))</f>
        <v>0</v>
      </c>
      <c r="J25" s="51">
        <f ca="1">LOOKUP(9.99999999999999E+307,CHOOSE({1,2},0,SUM(OFFSET(INDIRECT("'"&amp;TEXT(MATCH(J$2,$C$2:$R$2,0),"00")&amp;"'!C"&amp;ROW()),0,$D$1-1,1,$F$1))))</f>
        <v>0</v>
      </c>
      <c r="K25" s="51">
        <f ca="1">LOOKUP(9.99999999999999E+307,CHOOSE({1,2},0,SUM(OFFSET(INDIRECT("'"&amp;TEXT(MATCH(K$2,$C$2:$R$2,0),"00")&amp;"'!C"&amp;ROW()),0,$D$1-1,1,$F$1))))</f>
        <v>0</v>
      </c>
      <c r="L25" s="51">
        <f ca="1">LOOKUP(9.99999999999999E+307,CHOOSE({1,2},0,SUM(OFFSET(INDIRECT("'"&amp;TEXT(MATCH(L$2,$C$2:$R$2,0),"00")&amp;"'!C"&amp;ROW()),0,$D$1-1,1,$F$1))))</f>
        <v>0</v>
      </c>
      <c r="M25" s="51">
        <f ca="1">LOOKUP(9.99999999999999E+307,CHOOSE({1,2},0,SUM(OFFSET(INDIRECT("'"&amp;TEXT(MATCH(M$2,$C$2:$R$2,0),"00")&amp;"'!C"&amp;ROW()),0,$D$1-1,1,$F$1))))</f>
        <v>0</v>
      </c>
      <c r="N25" s="51">
        <f ca="1">LOOKUP(9.99999999999999E+307,CHOOSE({1,2},0,SUM(OFFSET(INDIRECT("'"&amp;TEXT(MATCH(N$2,$C$2:$R$2,0),"00")&amp;"'!C"&amp;ROW()),0,$D$1-1,1,$F$1))))</f>
        <v>0</v>
      </c>
      <c r="O25" s="51">
        <f ca="1">LOOKUP(9.99999999999999E+307,CHOOSE({1,2},0,SUM(OFFSET(INDIRECT("'"&amp;TEXT(MATCH(O$2,$C$2:$R$2,0),"00")&amp;"'!C"&amp;ROW()),0,$D$1-1,1,$F$1))))</f>
        <v>0</v>
      </c>
      <c r="P25" s="51">
        <f ca="1">LOOKUP(9.99999999999999E+307,CHOOSE({1,2},0,SUM(OFFSET(INDIRECT("'"&amp;TEXT(MATCH(P$2,$C$2:$R$2,0),"00")&amp;"'!C"&amp;ROW()),0,$D$1-1,1,$F$1))))</f>
        <v>0</v>
      </c>
      <c r="Q25" s="51">
        <f ca="1">LOOKUP(9.99999999999999E+307,CHOOSE({1,2},0,SUM(OFFSET(INDIRECT("'"&amp;TEXT(MATCH(Q$2,$C$2:$R$2,0),"00")&amp;"'!C"&amp;ROW()),0,$D$1-1,1,$F$1))))</f>
        <v>0</v>
      </c>
      <c r="R25" s="51">
        <f ca="1">LOOKUP(9.99999999999999E+307,CHOOSE({1,2},0,SUM(OFFSET(INDIRECT("'"&amp;TEXT(MATCH(R$2,$C$2:$R$2,0),"00")&amp;"'!C"&amp;ROW()),0,$D$1-1,1,$F$1))))</f>
        <v>0</v>
      </c>
    </row>
    <row r="26" spans="1:18" ht="15" thickTop="1"/>
  </sheetData>
  <dataValidations count="1">
    <dataValidation type="list" allowBlank="1" showInputMessage="1" showErrorMessage="1" sqref="E1">
      <formula1>Mday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</vt:i4>
      </vt:variant>
    </vt:vector>
  </HeadingPairs>
  <TitlesOfParts>
    <vt:vector size="19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ST</vt:lpstr>
      <vt:lpstr>DSUM</vt:lpstr>
      <vt:lpstr>Mday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</dc:creator>
  <cp:lastModifiedBy>Front</cp:lastModifiedBy>
  <dcterms:created xsi:type="dcterms:W3CDTF">2013-02-01T06:44:48Z</dcterms:created>
  <dcterms:modified xsi:type="dcterms:W3CDTF">2013-03-01T07:39:13Z</dcterms:modified>
</cp:coreProperties>
</file>